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715" windowHeight="7995" tabRatio="710" firstSheet="1" activeTab="1"/>
  </bookViews>
  <sheets>
    <sheet name="Company Info" sheetId="1" state="hidden" r:id="rId1"/>
    <sheet name="Company Report" sheetId="2" r:id="rId2"/>
    <sheet name="Text Version" sheetId="3" state="hidden" r:id="rId3"/>
    <sheet name="Annual Chart" sheetId="4" r:id="rId4"/>
    <sheet name="Chart Data" sheetId="5" state="hidden" r:id="rId5"/>
    <sheet name="Read Me!" sheetId="6" r:id="rId6"/>
    <sheet name="Version History" sheetId="7" r:id="rId7"/>
  </sheets>
  <definedNames>
    <definedName name="_xlnm.Print_Area" localSheetId="4">'Chart Data'!$A$3:$L$20</definedName>
    <definedName name="_xlnm.Print_Area" localSheetId="0">'Company Info'!$A$1:$B$400</definedName>
    <definedName name="_xlnm.Print_Area" localSheetId="1">'Company Report'!$A$2:$N$156</definedName>
    <definedName name="_xlnm.Print_Area" localSheetId="5">'Read Me!'!$A$1:$A$25</definedName>
    <definedName name="SSG" localSheetId="5">'Company Info'!#REF!</definedName>
    <definedName name="SSG" localSheetId="6">'Company Info'!#REF!</definedName>
    <definedName name="SSG">'Company Info'!#REF!</definedName>
  </definedNames>
  <calcPr fullCalcOnLoad="1"/>
</workbook>
</file>

<file path=xl/sharedStrings.xml><?xml version="1.0" encoding="utf-8"?>
<sst xmlns="http://schemas.openxmlformats.org/spreadsheetml/2006/main" count="857" uniqueCount="436">
  <si>
    <t>If you have any questions or suggestions, please let me know: http://www.douglasgerlach.com/contact/</t>
  </si>
  <si>
    <t>NOTE</t>
  </si>
  <si>
    <t>In order to make some data fit on the semi-log chart, you may need to adjust the scale using the drop down boxes at the top of the worksheet. For instance, if a set of figures is too large to appear on the chart, select 0.1 to divide the original data by 10. If the numbers are too small, select 100 to multiply the original data by 100. You can also use the multipliers &amp; divisors to group certain figures together on the chart, such as to place EPS, PTP and Sales together. Experiment to find the settings that make the chart most usable to you.</t>
  </si>
  <si>
    <t>Data for chart calculations.</t>
  </si>
  <si>
    <t>High Price  (Oldest Year)</t>
  </si>
  <si>
    <t>Earnings per Share (Primary)(Oldest)</t>
  </si>
  <si>
    <t>Earnings per Share</t>
  </si>
  <si>
    <t>Last Year of data</t>
  </si>
  <si>
    <t>Number of Data Years Used</t>
  </si>
  <si>
    <t>52 Week High Price</t>
  </si>
  <si>
    <t>52 Week Low Price</t>
  </si>
  <si>
    <t>Number of Common Shares Outstanding</t>
  </si>
  <si>
    <t>Number of Authorized Common Shares</t>
  </si>
  <si>
    <t>Number of Preferred Shares Outstanding</t>
  </si>
  <si>
    <t>Number of Authorized Preferred Shares</t>
  </si>
  <si>
    <t>Total Debt</t>
  </si>
  <si>
    <t>Potential Dilution</t>
  </si>
  <si>
    <t>Latest Quarterly sales</t>
  </si>
  <si>
    <t>Year Ago Quarterly sales</t>
  </si>
  <si>
    <t>Latest Quarterly E/S</t>
  </si>
  <si>
    <t>Year Ago Quarterly E/S</t>
  </si>
  <si>
    <t>Last CY of data +5</t>
  </si>
  <si>
    <t>Outside E/S Estimate</t>
  </si>
  <si>
    <t>Choice Low Price (5-Year Average Low)</t>
  </si>
  <si>
    <t>Choice High PE</t>
  </si>
  <si>
    <t>Choice Low PE</t>
  </si>
  <si>
    <t>Low E/S Estimate</t>
  </si>
  <si>
    <t>Quarterly E/S Growth</t>
  </si>
  <si>
    <t>Projected E/S Growth</t>
  </si>
  <si>
    <t>Quarterly Sales Growth</t>
  </si>
  <si>
    <t>Projected Sales Growth</t>
  </si>
  <si>
    <t>Average Yield</t>
  </si>
  <si>
    <t>Historic E/S Growth</t>
  </si>
  <si>
    <t>Average PE</t>
  </si>
  <si>
    <t>5-Year Sales Estimate</t>
  </si>
  <si>
    <t>Average Pre-Tax Profit</t>
  </si>
  <si>
    <t>Income Tax Rate</t>
  </si>
  <si>
    <t>Preferred Dividends</t>
  </si>
  <si>
    <t>Projected Liabilities</t>
  </si>
  <si>
    <t>Projected Outstanding Shares</t>
  </si>
  <si>
    <t>Prefferred Procedure E/S</t>
  </si>
  <si>
    <t>Visual E/S Estimate</t>
  </si>
  <si>
    <t>Last CY Trend E/S</t>
  </si>
  <si>
    <t>Historic Sales Growth</t>
  </si>
  <si>
    <t>Average ROE</t>
  </si>
  <si>
    <t>Low Price Estimate</t>
  </si>
  <si>
    <t>Average Price Estimate</t>
  </si>
  <si>
    <t>Sell Level Price</t>
  </si>
  <si>
    <t>Projected Dividend Payout %</t>
  </si>
  <si>
    <t>New E/S Estimate</t>
  </si>
  <si>
    <t>Projected High Price</t>
  </si>
  <si>
    <t>Recent Cash on Hand</t>
  </si>
  <si>
    <t>Year Ago Current assets</t>
  </si>
  <si>
    <t>Year Ago Debt</t>
  </si>
  <si>
    <t>Year Ago Current liabilities</t>
  </si>
  <si>
    <t>Total Capitalization</t>
  </si>
  <si>
    <t>Long Term Debt (Oldest)</t>
  </si>
  <si>
    <t>Long Term Debt</t>
  </si>
  <si>
    <t>Long term Debt</t>
  </si>
  <si>
    <t>Cash flow/share (Oldest)</t>
  </si>
  <si>
    <t>Cash flow/share</t>
  </si>
  <si>
    <t>Total Assets</t>
  </si>
  <si>
    <t>Interest Coverage %</t>
  </si>
  <si>
    <t>Total Return</t>
  </si>
  <si>
    <t>Severe Low Price</t>
  </si>
  <si>
    <t>R Squared</t>
  </si>
  <si>
    <t>Quarterly Sales</t>
  </si>
  <si>
    <t>Inside Ownership</t>
  </si>
  <si>
    <t>Institutional Holdings</t>
  </si>
  <si>
    <t>ACE 5 Year Estimate E/S Growth Rate</t>
  </si>
  <si>
    <t>Predictability</t>
  </si>
  <si>
    <t>Fiscal Year End Month</t>
  </si>
  <si>
    <t>Data Source</t>
  </si>
  <si>
    <t>Date of Data Creation</t>
  </si>
  <si>
    <t>Code</t>
  </si>
  <si>
    <t>Industry</t>
  </si>
  <si>
    <t>Last Monthly Closing Price Date</t>
  </si>
  <si>
    <t>Sector - or high level designation</t>
  </si>
  <si>
    <t>PRICE/EARNINGS</t>
  </si>
  <si>
    <t>MONTHLY PRICES</t>
  </si>
  <si>
    <t>Multiplier</t>
  </si>
  <si>
    <t>PRICE</t>
  </si>
  <si>
    <t>Reported Sales</t>
  </si>
  <si>
    <t>Rptd Pre-Tax Profit</t>
  </si>
  <si>
    <t>Rptd EPS</t>
  </si>
  <si>
    <t>Rptd Cash Flow/Share</t>
  </si>
  <si>
    <t>Rptd Shares Outstanding</t>
  </si>
  <si>
    <t>Rptd Long-Term Debt</t>
  </si>
  <si>
    <t>Sales (Most Recent Year)</t>
  </si>
  <si>
    <t>Tax Rate (Most Recent Year)</t>
  </si>
  <si>
    <t>PreTax Inc (Most Recent Year)</t>
  </si>
  <si>
    <t>Low Price (Most Recent Year)</t>
  </si>
  <si>
    <t>High Price (Most Recent Year)</t>
  </si>
  <si>
    <t>Net Income (Most Recent Year)</t>
  </si>
  <si>
    <t>Book Value (Most Recent Year)</t>
  </si>
  <si>
    <t>Earnings per Share (Most Recent Year)</t>
  </si>
  <si>
    <t>Dividend per Share (Most Recent Year)</t>
  </si>
  <si>
    <t>Long term Debt (Most Recent Year)</t>
  </si>
  <si>
    <t>Number shares outstanding (Most Recent Year)</t>
  </si>
  <si>
    <t>Quarterly Sales (Most Recent Quarter)</t>
  </si>
  <si>
    <t>Quarterly E/S (Most Recent Quarter)</t>
  </si>
  <si>
    <t>Quarterly Dividends (Most Recent Quarter)</t>
  </si>
  <si>
    <t>Value Line page number</t>
  </si>
  <si>
    <t>Most Recent Quarter Ended</t>
  </si>
  <si>
    <t>Weighted w/emphasis on recent years</t>
  </si>
  <si>
    <t>Weighted w/emphasis on earlier years</t>
  </si>
  <si>
    <t xml:space="preserve">Current Yield: </t>
  </si>
  <si>
    <t xml:space="preserve">Report Date: </t>
  </si>
  <si>
    <t xml:space="preserve">Symbol: </t>
  </si>
  <si>
    <t xml:space="preserve">Exchange: </t>
  </si>
  <si>
    <t xml:space="preserve">Industry: </t>
  </si>
  <si>
    <t xml:space="preserve">Current Price: </t>
  </si>
  <si>
    <t xml:space="preserve">Total Debt as % of Capital: </t>
  </si>
  <si>
    <t xml:space="preserve">LT Debt as % of Capital: </t>
  </si>
  <si>
    <t xml:space="preserve">Total Debt (M): </t>
  </si>
  <si>
    <t xml:space="preserve">Long Term Debt (M): </t>
  </si>
  <si>
    <t xml:space="preserve">Pref Shares Auth (M): </t>
  </si>
  <si>
    <t xml:space="preserve">Pref Shares (M): </t>
  </si>
  <si>
    <t xml:space="preserve">Comm Shares Auth (M): </t>
  </si>
  <si>
    <t xml:space="preserve">Comm Shares Outst (M): </t>
  </si>
  <si>
    <t>Pre-Tax Inc</t>
  </si>
  <si>
    <t>Net Inc</t>
  </si>
  <si>
    <t>Outst Shrs</t>
  </si>
  <si>
    <t>n/a</t>
  </si>
  <si>
    <t>P/E</t>
  </si>
  <si>
    <t>&lt;- SELECT TO ADJUST SCALE OF DATA ON CHART</t>
  </si>
  <si>
    <t>Sales (M)</t>
  </si>
  <si>
    <t>Pre-Tax Profit (M)</t>
  </si>
  <si>
    <t>Net Income (M)</t>
  </si>
  <si>
    <t>Shares Outstanding (M)</t>
  </si>
  <si>
    <t>Long-Term Debt (M)</t>
  </si>
  <si>
    <t>High Price</t>
  </si>
  <si>
    <t>Low Price (Oldest Year)</t>
  </si>
  <si>
    <t>Low Price</t>
  </si>
  <si>
    <t>Sales (Oldest Year)</t>
  </si>
  <si>
    <t>Sales</t>
  </si>
  <si>
    <t>Tax Rate (Oldest Year)</t>
  </si>
  <si>
    <t>Tax Rate</t>
  </si>
  <si>
    <t>PreTax Inc (Oldest Year)</t>
  </si>
  <si>
    <t>PreTax Inc</t>
  </si>
  <si>
    <t>Net Income (Oldest Year)</t>
  </si>
  <si>
    <t>Net Income</t>
  </si>
  <si>
    <t>Book Value (Oldest Year)</t>
  </si>
  <si>
    <t>Book Value</t>
  </si>
  <si>
    <t>Dividend per Share (Oldest Year)</t>
  </si>
  <si>
    <t>Dividend per Share</t>
  </si>
  <si>
    <t>Current Price</t>
  </si>
  <si>
    <t>Current P/E</t>
  </si>
  <si>
    <t>Current Dividend</t>
  </si>
  <si>
    <t>High Yield</t>
  </si>
  <si>
    <t>Add/Delete flag</t>
  </si>
  <si>
    <t>U:D ratio</t>
  </si>
  <si>
    <t>Previous E/S</t>
  </si>
  <si>
    <t>Current Accounts Receivables</t>
  </si>
  <si>
    <t>Current Inventories</t>
  </si>
  <si>
    <t>Short Term Debt (Sum Last 4 Qtrs)</t>
  </si>
  <si>
    <t>Year Ago Current Cash</t>
  </si>
  <si>
    <t>Year Ago Accounts Receivables</t>
  </si>
  <si>
    <t>Year Ago Inventories</t>
  </si>
  <si>
    <t>Number shares outstanding (Oldest)</t>
  </si>
  <si>
    <t>Number shares outstanding</t>
  </si>
  <si>
    <t>Reserved</t>
  </si>
  <si>
    <t>Quarterly Sales (Oldest)</t>
  </si>
  <si>
    <t>Quarterly E/S (Oldest)</t>
  </si>
  <si>
    <t>Quarterly E/S</t>
  </si>
  <si>
    <t>Quarterly Dividends (Oldest)</t>
  </si>
  <si>
    <t>Quarterly Dividends</t>
  </si>
  <si>
    <t>Name</t>
  </si>
  <si>
    <t>Symbol</t>
  </si>
  <si>
    <t>Exchange</t>
  </si>
  <si>
    <t xml:space="preserve">Reserved </t>
  </si>
  <si>
    <t>Split Ratio During Quarter</t>
  </si>
  <si>
    <t>Latest Quarter Ending Date</t>
  </si>
  <si>
    <t>Month of Latest Quarterly Data</t>
  </si>
  <si>
    <t>Year of Latest Quarterly Data</t>
  </si>
  <si>
    <t xml:space="preserve">Software Version </t>
  </si>
  <si>
    <t>Sic Code</t>
  </si>
  <si>
    <t>S &amp; P Stock Rank</t>
  </si>
  <si>
    <t>Financial strength VL</t>
  </si>
  <si>
    <t>Safety VL</t>
  </si>
  <si>
    <t>Beta</t>
  </si>
  <si>
    <t>Quarterly Pre-Tax Income (Oldest)</t>
  </si>
  <si>
    <t xml:space="preserve">Quarterly Pre-Tax Income </t>
  </si>
  <si>
    <t>Quarterly Pre-Tax Income  (Most Recent)</t>
  </si>
  <si>
    <t>Quarterly Net Income (Oldest)</t>
  </si>
  <si>
    <t xml:space="preserve">Quarterly Net Income </t>
  </si>
  <si>
    <t>Quarterly Net Income (Most Recent)</t>
  </si>
  <si>
    <t>E/S in 5 Yrs. Based on Ace Proj Growth Rate</t>
  </si>
  <si>
    <t>Historical 5 Yr E/S Growth Rate</t>
  </si>
  <si>
    <t>Current PE/Ace 5 Yr Growth rate</t>
  </si>
  <si>
    <t>S&amp;P Rating</t>
  </si>
  <si>
    <t>Avg 5 Yr PE</t>
  </si>
  <si>
    <t>Proj 5 Yr High Price</t>
  </si>
  <si>
    <t>Proj Compounded Appreciation of Price</t>
  </si>
  <si>
    <t>Current Yield</t>
  </si>
  <si>
    <t>Proj Total Return</t>
  </si>
  <si>
    <t>Historical 5 Yr. Sales Growth Rate</t>
  </si>
  <si>
    <t>Historical 5 Yr E/S Growth R-Squared</t>
  </si>
  <si>
    <t>Industry Group</t>
  </si>
  <si>
    <t>% Off 52 Week High Price</t>
  </si>
  <si>
    <t>% Above 52 Week Low Price</t>
  </si>
  <si>
    <t>Relative Value</t>
  </si>
  <si>
    <t>PE/Avg ROE</t>
  </si>
  <si>
    <t>Debt as % of Capital</t>
  </si>
  <si>
    <t>Next Year E/S estimate</t>
  </si>
  <si>
    <t>Historical 5 Yr. Sales Growth R-Squared</t>
  </si>
  <si>
    <t>STOCK SELECTION GUIDE</t>
  </si>
  <si>
    <t>CAPITALIZATION:</t>
  </si>
  <si>
    <t>10-YEAR HISTORY OF SALES, EARNINGS, PRE-TAX PROFIT &amp; PRICE</t>
  </si>
  <si>
    <t>Pre-Tax Profit</t>
  </si>
  <si>
    <t xml:space="preserve">Proj ACE 5-Yr EPS Growth: </t>
  </si>
  <si>
    <t xml:space="preserve">Proj ACE 5-Yr EPS: </t>
  </si>
  <si>
    <t>PART 2: EVALUATING MANAGEMENT</t>
  </si>
  <si>
    <t>PART 3: PRICE-EARNINGS HISTORY as an indicator of the future</t>
  </si>
  <si>
    <t>Year</t>
  </si>
  <si>
    <t>Hi Price</t>
  </si>
  <si>
    <t>Lo Price</t>
  </si>
  <si>
    <t>EPS</t>
  </si>
  <si>
    <t>Hi P/E</t>
  </si>
  <si>
    <t>Lo P/E</t>
  </si>
  <si>
    <t>Div</t>
  </si>
  <si>
    <t>% Payout</t>
  </si>
  <si>
    <t>% Hi Yield</t>
  </si>
  <si>
    <t>PART 4: EVALUATING RISK AND REWARD over the next five years</t>
  </si>
  <si>
    <t>x Est. High EPS</t>
  </si>
  <si>
    <t>x Est. Low EPS</t>
  </si>
  <si>
    <t>C. ZONING</t>
  </si>
  <si>
    <t>to</t>
  </si>
  <si>
    <t>Current Price of</t>
  </si>
  <si>
    <t>D. UP-SIDE DOWN-SIDE RATIO (Potential Gain vs. Risk of Loss)</t>
  </si>
  <si>
    <t xml:space="preserve"> To 1</t>
  </si>
  <si>
    <t>E. PRICE TARGET (Simple Interest)</t>
  </si>
  <si>
    <t>PART 5: 5-Year Potential</t>
  </si>
  <si>
    <t>Company ........</t>
  </si>
  <si>
    <t>Data Date ......</t>
  </si>
  <si>
    <t>Data From ......</t>
  </si>
  <si>
    <t>Symbol .........</t>
  </si>
  <si>
    <t>Exchange .......</t>
  </si>
  <si>
    <t>Industry .......</t>
  </si>
  <si>
    <t>Current Price ..</t>
  </si>
  <si>
    <t>Current P/E ....</t>
  </si>
  <si>
    <t>Current Div ....</t>
  </si>
  <si>
    <t>Com Shrs Out ...</t>
  </si>
  <si>
    <t>Com Shrs Auth ..</t>
  </si>
  <si>
    <t>Prf Shrs Out ...</t>
  </si>
  <si>
    <t>Prf Shrs Auth ..</t>
  </si>
  <si>
    <t>Long Term Debt .</t>
  </si>
  <si>
    <t>Total Debt .....</t>
  </si>
  <si>
    <t>Pot. Dilution ..</t>
  </si>
  <si>
    <t>PART 1: ANALYSIS OF SALES, EARNINGS AND PRICE</t>
  </si>
  <si>
    <t>Recent Results For Quarter Ended</t>
  </si>
  <si>
    <t>Latest Quarter Sales....</t>
  </si>
  <si>
    <t>Year Ago Quarter Sales..</t>
  </si>
  <si>
    <t>% Change Sales..........</t>
  </si>
  <si>
    <t>Latest Quarter EPS......</t>
  </si>
  <si>
    <t>Year Ago Quarter EPS....</t>
  </si>
  <si>
    <t>% Change EPS............</t>
  </si>
  <si>
    <t>........................</t>
  </si>
  <si>
    <t>Sales ..................</t>
  </si>
  <si>
    <t>EPS ....................</t>
  </si>
  <si>
    <t>Pre-Tax Profit .........</t>
  </si>
  <si>
    <t>High Price .............</t>
  </si>
  <si>
    <t>Low Price ..............</t>
  </si>
  <si>
    <t>Hist 10-Yr Sales Grth ..</t>
  </si>
  <si>
    <t>Hist 5-Yr Sales Grth ...</t>
  </si>
  <si>
    <t>Proj Sales Growth ......</t>
  </si>
  <si>
    <t>Proj 5-Yrs Sales .......</t>
  </si>
  <si>
    <t>Hist 10-Yr EPS Growth ..</t>
  </si>
  <si>
    <t>Hist 5-Yr EPS Growth ...</t>
  </si>
  <si>
    <t>Proj 5-Yr EPS Growth ...</t>
  </si>
  <si>
    <t>Proj 5-Yr EPS ..........</t>
  </si>
  <si>
    <t xml:space="preserve">Proj ACE 5-Yr EPS Grth . </t>
  </si>
  <si>
    <t>Proj ACE 5-Yr EPS ......</t>
  </si>
  <si>
    <t>A. % PTP ...............</t>
  </si>
  <si>
    <t>B. % ROE ...............</t>
  </si>
  <si>
    <t>5-Yr Avg PTP ...........</t>
  </si>
  <si>
    <t>5-Yr Avg ROE ...........</t>
  </si>
  <si>
    <t>Year ...................</t>
  </si>
  <si>
    <t>Hi Pr</t>
  </si>
  <si>
    <t>Lo Pr</t>
  </si>
  <si>
    <t>Hi PE</t>
  </si>
  <si>
    <t>Lo PE</t>
  </si>
  <si>
    <t>% Pyt</t>
  </si>
  <si>
    <t>% Hi Yld</t>
  </si>
  <si>
    <t>Present Price ..........</t>
  </si>
  <si>
    <t>High This Year .........</t>
  </si>
  <si>
    <t>Low This Year ..........</t>
  </si>
  <si>
    <t>Average Low Price ......</t>
  </si>
  <si>
    <t>Average Hi P/E Ratio ...</t>
  </si>
  <si>
    <t>Average Low P/E Ratio ..</t>
  </si>
  <si>
    <t>Average P/E Ratio ......</t>
  </si>
  <si>
    <t>Current P/E Ratio ......</t>
  </si>
  <si>
    <t>Average % Payout .......</t>
  </si>
  <si>
    <t>A. HIGH PRICE-NEXT 5 YEARS</t>
  </si>
  <si>
    <t>Average High P/E .......</t>
  </si>
  <si>
    <t xml:space="preserve"> = </t>
  </si>
  <si>
    <t>B. LOW PRICE-NEXT 5 YEARS</t>
  </si>
  <si>
    <t>b) Avg. Low P/E ........</t>
  </si>
  <si>
    <t>a) Avg. 5-Year Low .....</t>
  </si>
  <si>
    <t>c) Recent Severe Low ...</t>
  </si>
  <si>
    <t>d) Price Div. Will Supp.</t>
  </si>
  <si>
    <t>Selected Est. Low Price</t>
  </si>
  <si>
    <t xml:space="preserve"> Buy ...................</t>
  </si>
  <si>
    <t xml:space="preserve"> Hold ..................</t>
  </si>
  <si>
    <t xml:space="preserve"> Sell ..................</t>
  </si>
  <si>
    <t>Current Yield ..........</t>
  </si>
  <si>
    <t>Future Avg. Yield ......</t>
  </si>
  <si>
    <t>Pot. Total Return ......</t>
  </si>
  <si>
    <t>Current Rel. Value .....</t>
  </si>
  <si>
    <t>Shares Outstanding</t>
  </si>
  <si>
    <t>Long-Term Debt</t>
  </si>
  <si>
    <t>SSG DATAFILE READER</t>
  </si>
  <si>
    <t>by Douglas Gerlach</t>
  </si>
  <si>
    <t>CAPITAL STRUCTURE</t>
  </si>
  <si>
    <t>Cash Flow/Share</t>
  </si>
  <si>
    <t xml:space="preserve">Beta: </t>
  </si>
  <si>
    <t xml:space="preserve">S &amp; P Stock Rank: </t>
  </si>
  <si>
    <t>Book Value/Share</t>
  </si>
  <si>
    <t>Earnings/Share</t>
  </si>
  <si>
    <t>Annual High Price</t>
  </si>
  <si>
    <t>Annual Low Price</t>
  </si>
  <si>
    <t>Dividends/Share</t>
  </si>
  <si>
    <t>Earnings/Share*</t>
  </si>
  <si>
    <t>* NOTE: Diluted earnings (excl. extraordinary items and discontinued operations) until 1998 and diluted earnings from continuing operations thereafter.</t>
  </si>
  <si>
    <t>ANNUAL DATA</t>
  </si>
  <si>
    <t>GROWTH RATES</t>
  </si>
  <si>
    <t>COMPANY INFO</t>
  </si>
  <si>
    <t>10-YR AVERAGE</t>
  </si>
  <si>
    <t>5-YR AVERAGE</t>
  </si>
  <si>
    <t>WGTD 5-YR AVERAGE</t>
  </si>
  <si>
    <t>REVERSE WGTD 5-YR AVERAGE</t>
  </si>
  <si>
    <t>CURRENT POSITION</t>
  </si>
  <si>
    <t>Current Assets</t>
  </si>
  <si>
    <t>Current Liabilities</t>
  </si>
  <si>
    <t>Year Ago</t>
  </si>
  <si>
    <t>Current</t>
  </si>
  <si>
    <t xml:space="preserve">Cash: </t>
  </si>
  <si>
    <t xml:space="preserve">Accts Receivable: </t>
  </si>
  <si>
    <t xml:space="preserve">Inventories: </t>
  </si>
  <si>
    <t xml:space="preserve">Assets: </t>
  </si>
  <si>
    <t xml:space="preserve">Short Term Debt: </t>
  </si>
  <si>
    <t xml:space="preserve">Liabilities: </t>
  </si>
  <si>
    <t>% Chng</t>
  </si>
  <si>
    <t>% PTP of Sales</t>
  </si>
  <si>
    <t>Return on Equity</t>
  </si>
  <si>
    <t xml:space="preserve">Interest Coverage: </t>
  </si>
  <si>
    <t xml:space="preserve">Total Capitalization (M): </t>
  </si>
  <si>
    <t>Avg P/E</t>
  </si>
  <si>
    <t>9-Yrs</t>
  </si>
  <si>
    <t>8-Yrs</t>
  </si>
  <si>
    <t>7-Yrs</t>
  </si>
  <si>
    <t>6-Yrs</t>
  </si>
  <si>
    <t>5-Yrs</t>
  </si>
  <si>
    <t>4-Yrs</t>
  </si>
  <si>
    <t>3-Yrs</t>
  </si>
  <si>
    <t>2-Yrs</t>
  </si>
  <si>
    <t>Sales (20 Qtr)</t>
  </si>
  <si>
    <t>EPS - Primary (20 Qtr)</t>
  </si>
  <si>
    <t>Pretax Income (20 Qtr)</t>
  </si>
  <si>
    <t>Common Shares Outstanding (20 Qtr)</t>
  </si>
  <si>
    <t>Tax Rate Qtrly. (20 Qtr.)   (oldest)</t>
  </si>
  <si>
    <t>Tax Rate Qtrly. (20 Qtr.)</t>
  </si>
  <si>
    <t>Closing prices (60 mo.) (oldest)</t>
  </si>
  <si>
    <t>Closing prices (60 mo.)</t>
  </si>
  <si>
    <t>QUARTERLY DATA</t>
  </si>
  <si>
    <t xml:space="preserve">Data Source: </t>
  </si>
  <si>
    <t xml:space="preserve">Company Size: </t>
  </si>
  <si>
    <t xml:space="preserve">Fiscal Year Ended: </t>
  </si>
  <si>
    <t>PRICE &amp; DIVIDEND INFO</t>
  </si>
  <si>
    <t xml:space="preserve">Preferred Dividends: </t>
  </si>
  <si>
    <t xml:space="preserve">SIC Code: </t>
  </si>
  <si>
    <t xml:space="preserve">Trailing P/E: </t>
  </si>
  <si>
    <t xml:space="preserve">Indicated Dividend: </t>
  </si>
  <si>
    <t xml:space="preserve">52-Wk High Price: </t>
  </si>
  <si>
    <t xml:space="preserve">52-Wk Low Price: </t>
  </si>
  <si>
    <t>KEY RATIOS</t>
  </si>
  <si>
    <t xml:space="preserve">Price/Sales (TTM): </t>
  </si>
  <si>
    <t xml:space="preserve">Price/Book (FY): </t>
  </si>
  <si>
    <t xml:space="preserve">Price/Cash Flow (FY): </t>
  </si>
  <si>
    <t xml:space="preserve">Price/Earnings (TTM): </t>
  </si>
  <si>
    <t>TTM: Trailing Twelve Months</t>
  </si>
  <si>
    <t>FY: Most Recent Fiscal Year</t>
  </si>
  <si>
    <t>TTM EPS</t>
  </si>
  <si>
    <t xml:space="preserve">P/E Ratios are calculated using trailing EPS, </t>
  </si>
  <si>
    <r>
      <t xml:space="preserve">from last four </t>
    </r>
    <r>
      <rPr>
        <b/>
        <sz val="9"/>
        <rFont val="Arial"/>
        <family val="2"/>
      </rPr>
      <t>reported</t>
    </r>
    <r>
      <rPr>
        <sz val="9"/>
        <rFont val="Arial"/>
        <family val="2"/>
      </rPr>
      <t xml:space="preserve"> quarters.</t>
    </r>
  </si>
  <si>
    <t xml:space="preserve">Last Monthly Closing Price Date: </t>
  </si>
  <si>
    <t>1-Yr</t>
  </si>
  <si>
    <t>S</t>
  </si>
  <si>
    <t>SPC</t>
  </si>
  <si>
    <t xml:space="preserve">Trailing PE/EPS Growth Rate: </t>
  </si>
  <si>
    <t xml:space="preserve">Forward PE/EPS Growth Rate: </t>
  </si>
  <si>
    <t xml:space="preserve">Current Ratio: </t>
  </si>
  <si>
    <t xml:space="preserve">Quick Ratio: </t>
  </si>
  <si>
    <t xml:space="preserve">Implied Growth Rate: </t>
  </si>
  <si>
    <t>NYSE</t>
  </si>
  <si>
    <t>Italicized figures are calculated from the original source data.</t>
  </si>
  <si>
    <t xml:space="preserve">Divd  </t>
  </si>
  <si>
    <t xml:space="preserve">Potential Dilution (M): </t>
  </si>
  <si>
    <t>General Merchandise Stores</t>
  </si>
  <si>
    <t xml:space="preserve">A+ </t>
  </si>
  <si>
    <t>Version</t>
  </si>
  <si>
    <t>Date</t>
  </si>
  <si>
    <t>Note</t>
  </si>
  <si>
    <t>Initial version</t>
  </si>
  <si>
    <t>Fixed calculation of trailing 4Q EPS (using the EOMONTH function to match dates of quarterly EPS and monthly prices); placed chart adjuster controls on the same page as the chart; re-arranged top sections to add other ratios; added troubleshooting notes to Read Me! file.</t>
  </si>
  <si>
    <t>Added note to the Read Me! File that the Analysis ToolPak must be installed to allow monthly price dates to be calculated; added forward PEG Ratio; added Version History notes.</t>
  </si>
  <si>
    <t xml:space="preserve">
While you can import these datafiles into any NAIC SSG software program, only a portion of those are used by the SSG software programs, leaving much of the data "invisible" to users. Cash flow, balance sheet information and historical levels of debt are all provided in the datafile but not commonly used in the SSG software. With this spreadsheet, you can access all the available data in for viewing and interpretation.</t>
  </si>
  <si>
    <t xml:space="preserve">
This Excel spreadsheet allows you to import and view all of the available data in any *.SSG datafile downloaded from the NAIC web site. In addition, the spreadsheet creates graphs of various data, calculates multi-year growth rates and averages (simple and weighted) of various fields. You can also print a two-page report that contains all of the data and a chart of the stock's price and PE ratio.</t>
  </si>
  <si>
    <t xml:space="preserve">
Downloading &amp; Importing</t>
  </si>
  <si>
    <t xml:space="preserve">In order to use the spreadsheet, you first must download a *.SSG datafile to your computer from the NAIC web site. Once you've selected a company report for a stock, right click on the "SSG Datafile" link at the top of the page. If Windows adds "*.html" or "*.txt" to the filename, try adding double quotes around the filename when you save it, like this: "ibm.ssg".
</t>
  </si>
  <si>
    <t xml:space="preserve">Then click the "Import New SSG Datafile" button at the top of the Company Report tab in the workbook. After selecting the SSG datafile that you've downloaded, the data will load into the spreadsheet. That's it!
</t>
  </si>
  <si>
    <t>Macros and Security</t>
  </si>
  <si>
    <t xml:space="preserve">When you open the file, you should Enable Macros to allow the file import routine to work. (If your Security Level is set to Low, Excel won't prompt you to Enable Macros when you load the file. Select Tools | Macros | Security on the Excel menu, and then set your level to Medium. When you start the spreadsheet, it will then prompt you, and you should select the option to Enable Macros in the worksheet.) The macros simply allow the *.SSG files to be loaded into the spreadsheet and are not dangerous.
</t>
  </si>
  <si>
    <t>Using the Spreadsheet</t>
  </si>
  <si>
    <t xml:space="preserve">The Chart Adjuster tab allows you to change the scale of the annual historical data to make it appear or to raise or lower its position on the Historical Chart.
</t>
  </si>
  <si>
    <t>Data that is calculated in the spreadsheet, such as averages, ratios and growth rates, is indicated by italics; these data points are not included in the SSG datafiles themselves.</t>
  </si>
  <si>
    <t xml:space="preserve">
Known Issues</t>
  </si>
  <si>
    <t xml:space="preserve">On the Company Report page, the growth rates are calculated for various periods. The periods are labeled from 10-Yrs to 2-Yrs, which is the number of annual periods that are used in the calculation. Therefore, the last column, "2-Yrs," is really the growth rate of the last year; the column labeled "6-Yrs" is the growth rate of the last five years.
</t>
  </si>
  <si>
    <t>The Historical Chart will give an error message "Negative or zero values cannot be properly charted on a log chart" if any of the revenues, earnings or pre-tax profit figures are zero or negative. If less than 10 years of positive earnings and sales are included in the data, some calculations may display errors in Excel (#NUM! or #DIV/0!). You may need to widen columns if ##### appear in any cells on the Company Report.  I've also tried to anticipate the most common problem scenarios, but there are many instances where a cell might read #NUM!, #DIV, or #VALUE!. These are usually caused when the spreadsheet doesn't have enough data to make a calculation or because some of the numbers are negative. (If that's the case, that's generally indicator enough of a problem with the company you're studying.)</t>
  </si>
  <si>
    <t xml:space="preserve">
</t>
  </si>
  <si>
    <t>Help and Feedback</t>
  </si>
  <si>
    <t xml:space="preserve">NAIC's Online Premium Services (http://www.better-investing.org) now allow subscribers to download data on nearly 10,000 publicly-traded stocks in a format that's compatible with NAIC Investor's Toolkit, STB Stock Analyst or NAIC Classic software programs. The *.SSG datafile format has evolved over the years and now includes 537 separate data fields. </t>
  </si>
  <si>
    <r>
      <t>This spreadsheet was created in Excel 2000 for Windows; it may work on other platforms and version of Excel, but I can't say for sure.</t>
    </r>
    <r>
      <rPr>
        <sz val="10"/>
        <rFont val="Arial"/>
        <family val="2"/>
      </rPr>
      <t xml:space="preserve">
</t>
    </r>
  </si>
  <si>
    <t>Copyright 2003</t>
  </si>
  <si>
    <t>(1) Import SSG no longer dependent on the name SSGREADER.xls.</t>
  </si>
  <si>
    <t>(2) Import SSG works on Macintosh Excel as well as PC Excel.</t>
  </si>
  <si>
    <t>(3) Spreadsheet no longer requires Analysis ToolPak Add-In</t>
  </si>
  <si>
    <t>    (Replaced EOMONTH function use with alternatives).</t>
  </si>
  <si>
    <t>(4) Shares Outstanding (J39:J89) now appear in the correct order.</t>
  </si>
  <si>
    <t>(5) "Monthly Price and P/E Ratio History" chart covers 61 months.</t>
  </si>
  <si>
    <t>(6) "Historical Chart" plots everything on one autoscaling axis.</t>
  </si>
  <si>
    <t>Incorporated changes made by Jim Thomas (thanks, Jim!):</t>
  </si>
  <si>
    <t>WAL-MART STORES</t>
  </si>
  <si>
    <t>WMT</t>
  </si>
  <si>
    <r>
      <t>Placed "Annual Chart" on its own sheet, sized with window; added EPS R</t>
    </r>
    <r>
      <rPr>
        <vertAlign val="superscript"/>
        <sz val="10"/>
        <rFont val="Univers"/>
        <family val="0"/>
      </rPr>
      <t>2</t>
    </r>
    <r>
      <rPr>
        <sz val="10"/>
        <rFont val="Univers"/>
        <family val="0"/>
      </rPr>
      <t xml:space="preserve"> calculation to chart.</t>
    </r>
  </si>
  <si>
    <t>Version 3.11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</si>
</sst>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0_);\(&quot;$&quot;#,##0.0\)"/>
    <numFmt numFmtId="168" formatCode="General_)"/>
    <numFmt numFmtId="169" formatCode="#,##0.0_);[Red]\(#,##0.0\)"/>
    <numFmt numFmtId="170" formatCode="0.0000"/>
    <numFmt numFmtId="171" formatCode="0.000"/>
    <numFmt numFmtId="172" formatCode="0.000000"/>
    <numFmt numFmtId="173" formatCode="0.0000000"/>
    <numFmt numFmtId="174" formatCode="0.00000"/>
    <numFmt numFmtId="175" formatCode="0.0000000000"/>
    <numFmt numFmtId="176" formatCode="0.000000000"/>
    <numFmt numFmtId="177" formatCode="0.00000000"/>
    <numFmt numFmtId="178" formatCode="&quot;$&quot;0.000"/>
    <numFmt numFmtId="179" formatCode="&quot;$&quot;#,##0.000_);[Red]\(&quot;$&quot;#,##0.000\)"/>
    <numFmt numFmtId="180" formatCode="&quot;$&quot;#,##0.0000_);[Red]\(&quot;$&quot;#,##0.0000\)"/>
    <numFmt numFmtId="181" formatCode="&quot;$&quot;#,##0.0_);[Red]\(&quot;$&quot;#,##0.0\)"/>
    <numFmt numFmtId="182" formatCode="_(&quot;$&quot;* #,##0.000_);_(&quot;$&quot;* \(#,##0.000\);_(&quot;$&quot;* &quot;-&quot;??_);_(@_)"/>
    <numFmt numFmtId="183" formatCode="_(&quot;$&quot;* #,##0.0_);_(&quot;$&quot;* \(#,##0.0\);_(&quot;$&quot;* &quot;-&quot;??_);_(@_)"/>
    <numFmt numFmtId="184" formatCode="_(* #,##0.0_);_(* \(#,##0.0\);_(* &quot;-&quot;??_);_(@_)"/>
    <numFmt numFmtId="185" formatCode="_(&quot;$&quot;* #,##0_);_(&quot;$&quot;* \(#,##0\);_(&quot;$&quot;* &quot;-&quot;??_);_(@_)"/>
    <numFmt numFmtId="186" formatCode="_(* #,##0.000_);_(* \(#,##0.000\);_(* &quot;-&quot;??_);_(@_)"/>
    <numFmt numFmtId="187" formatCode="#,##0.0"/>
    <numFmt numFmtId="188" formatCode="_(* #,##0_);_(* \(#,##0\);_(* &quot;-&quot;??_);_(@_)"/>
    <numFmt numFmtId="189" formatCode="#,##0.000_);[Red]\(#,##0.000\)"/>
    <numFmt numFmtId="190" formatCode="#,##0.0000_);[Red]\(#,##0.0000\)"/>
    <numFmt numFmtId="191" formatCode="#,##0.00000_);[Red]\(#,##0.00000\)"/>
    <numFmt numFmtId="192" formatCode="0.000%"/>
    <numFmt numFmtId="193" formatCode="0.0000%"/>
    <numFmt numFmtId="194" formatCode="0.00000%"/>
    <numFmt numFmtId="195" formatCode="&quot;$&quot;0.0"/>
    <numFmt numFmtId="196" formatCode="0.0%;[Red]0.0%;"/>
    <numFmt numFmtId="197" formatCode="0.0%;[Red]\(0.0%;\)"/>
    <numFmt numFmtId="198" formatCode="0.0%;[Red]\(0.0%\)"/>
    <numFmt numFmtId="199" formatCode="m/d"/>
    <numFmt numFmtId="200" formatCode="&quot;$&quot;#,##0.00"/>
    <numFmt numFmtId="201" formatCode="&quot;$&quot;#,##0.000"/>
    <numFmt numFmtId="202" formatCode="&quot;$&quot;#,##0.0000"/>
    <numFmt numFmtId="203" formatCode="&quot;$&quot;#,##0.0"/>
    <numFmt numFmtId="204" formatCode="mmmm\-yy"/>
    <numFmt numFmtId="205" formatCode="#,##0.0000"/>
    <numFmt numFmtId="206" formatCode="&quot;$&quot;#,##0"/>
    <numFmt numFmtId="207" formatCode="0.0_);[Red]\(0.0\)"/>
    <numFmt numFmtId="208" formatCode="0.00_);[Red]\(0.00\)"/>
    <numFmt numFmtId="209" formatCode="0.0_)"/>
    <numFmt numFmtId="210" formatCode="mmmm\ yyyy"/>
    <numFmt numFmtId="211" formatCode="m/d/yy"/>
    <numFmt numFmtId="212" formatCode="#,##0.000_);\(#,##0.000\)"/>
    <numFmt numFmtId="213" formatCode="#,##0.0_);\(#,##0.0\)"/>
    <numFmt numFmtId="214" formatCode="0_);[Red]\(0\)"/>
    <numFmt numFmtId="215" formatCode="[$-409]dddd\,\ mmmm\ dd\,\ yyyy"/>
    <numFmt numFmtId="216" formatCode="0.000000000000000%"/>
    <numFmt numFmtId="217" formatCode="_(* #,##0.0_);_(* \(#,##0.0\);_(* &quot;-&quot;?_);_(@_)"/>
    <numFmt numFmtId="218" formatCode="_(* #,##0.0000_);_(* \(#,##0.0000\);_(* &quot;-&quot;??_);_(@_)"/>
    <numFmt numFmtId="219" formatCode="_(* #,##0.00000_);_(* \(#,##0.00000\);_(* &quot;-&quot;??_);_(@_)"/>
    <numFmt numFmtId="220" formatCode="_(* #,##0.000000_);_(* \(#,##0.000000\);_(* &quot;-&quot;??_);_(@_)"/>
    <numFmt numFmtId="221" formatCode="_(* #,##0.0000000_);_(* \(#,##0.0000000\);_(* &quot;-&quot;??_);_(@_)"/>
    <numFmt numFmtId="222" formatCode="_(* #,##0.00000000_);_(* \(#,##0.00000000\);_(* &quot;-&quot;??_);_(@_)"/>
    <numFmt numFmtId="223" formatCode="_(* #,##0.000000000_);_(* \(#,##0.000000000\);_(* &quot;-&quot;??_);_(@_)"/>
    <numFmt numFmtId="224" formatCode="&quot;Yes&quot;;&quot;Yes&quot;;&quot;No&quot;"/>
    <numFmt numFmtId="225" formatCode="&quot;True&quot;;&quot;True&quot;;&quot;False&quot;"/>
    <numFmt numFmtId="226" formatCode="&quot;On&quot;;&quot;On&quot;;&quot;Off&quot;"/>
  </numFmts>
  <fonts count="51">
    <font>
      <sz val="10"/>
      <name val="Univers"/>
      <family val="0"/>
    </font>
    <font>
      <b/>
      <sz val="10"/>
      <name val="Univers"/>
      <family val="0"/>
    </font>
    <font>
      <i/>
      <sz val="10"/>
      <name val="Univers"/>
      <family val="0"/>
    </font>
    <font>
      <b/>
      <i/>
      <sz val="10"/>
      <name val="Univers"/>
      <family val="0"/>
    </font>
    <font>
      <sz val="10"/>
      <name val="MS Sans Serif"/>
      <family val="0"/>
    </font>
    <font>
      <sz val="8"/>
      <name val="Arial"/>
      <family val="0"/>
    </font>
    <font>
      <sz val="10"/>
      <name val="Arial"/>
      <family val="2"/>
    </font>
    <font>
      <sz val="9"/>
      <name val="Courier New"/>
      <family val="0"/>
    </font>
    <font>
      <sz val="9"/>
      <name val="Arial"/>
      <family val="0"/>
    </font>
    <font>
      <b/>
      <sz val="9"/>
      <color indexed="17"/>
      <name val="Arial"/>
      <family val="2"/>
    </font>
    <font>
      <sz val="8"/>
      <color indexed="17"/>
      <name val="Arial"/>
      <family val="2"/>
    </font>
    <font>
      <sz val="10"/>
      <name val="Arial Narrow"/>
      <family val="2"/>
    </font>
    <font>
      <sz val="12"/>
      <name val="Arial Black"/>
      <family val="2"/>
    </font>
    <font>
      <b/>
      <sz val="12"/>
      <name val="Arial"/>
      <family val="2"/>
    </font>
    <font>
      <b/>
      <sz val="12"/>
      <color indexed="18"/>
      <name val="Arial"/>
      <family val="2"/>
    </font>
    <font>
      <sz val="8"/>
      <name val="Tahoma"/>
      <family val="2"/>
    </font>
    <font>
      <sz val="9"/>
      <name val="Arial Narrow"/>
      <family val="2"/>
    </font>
    <font>
      <b/>
      <sz val="10"/>
      <name val="Arial Narrow"/>
      <family val="2"/>
    </font>
    <font>
      <b/>
      <sz val="12"/>
      <color indexed="16"/>
      <name val="Arial"/>
      <family val="2"/>
    </font>
    <font>
      <sz val="8.5"/>
      <name val="Arial"/>
      <family val="2"/>
    </font>
    <font>
      <b/>
      <sz val="10.5"/>
      <name val="Arial"/>
      <family val="2"/>
    </font>
    <font>
      <b/>
      <sz val="8"/>
      <name val="Arial"/>
      <family val="2"/>
    </font>
    <font>
      <sz val="9"/>
      <color indexed="17"/>
      <name val="Arial"/>
      <family val="2"/>
    </font>
    <font>
      <b/>
      <sz val="12"/>
      <color indexed="17"/>
      <name val="Arial"/>
      <family val="2"/>
    </font>
    <font>
      <b/>
      <sz val="12"/>
      <color indexed="8"/>
      <name val="Arial"/>
      <family val="2"/>
    </font>
    <font>
      <b/>
      <sz val="8"/>
      <color indexed="17"/>
      <name val="Arial"/>
      <family val="2"/>
    </font>
    <font>
      <b/>
      <sz val="9"/>
      <name val="Arial"/>
      <family val="2"/>
    </font>
    <font>
      <i/>
      <sz val="9"/>
      <name val="Arial"/>
      <family val="2"/>
    </font>
    <font>
      <b/>
      <sz val="9"/>
      <name val="Arial Narrow"/>
      <family val="2"/>
    </font>
    <font>
      <sz val="14.25"/>
      <name val="Arial"/>
      <family val="0"/>
    </font>
    <font>
      <b/>
      <sz val="10"/>
      <color indexed="17"/>
      <name val="Arial Narrow"/>
      <family val="2"/>
    </font>
    <font>
      <sz val="9"/>
      <color indexed="8"/>
      <name val="Arial"/>
      <family val="2"/>
    </font>
    <font>
      <i/>
      <sz val="9"/>
      <color indexed="8"/>
      <name val="Arial"/>
      <family val="2"/>
    </font>
    <font>
      <b/>
      <sz val="10"/>
      <color indexed="14"/>
      <name val="Arial Narrow"/>
      <family val="2"/>
    </font>
    <font>
      <b/>
      <sz val="10"/>
      <color indexed="10"/>
      <name val="Arial Narrow"/>
      <family val="2"/>
    </font>
    <font>
      <b/>
      <sz val="10"/>
      <color indexed="60"/>
      <name val="Arial Narrow"/>
      <family val="2"/>
    </font>
    <font>
      <b/>
      <sz val="10"/>
      <color indexed="49"/>
      <name val="Arial Narrow"/>
      <family val="2"/>
    </font>
    <font>
      <b/>
      <sz val="10"/>
      <color indexed="12"/>
      <name val="Arial Narrow"/>
      <family val="2"/>
    </font>
    <font>
      <sz val="8"/>
      <name val="Arial Narrow"/>
      <family val="2"/>
    </font>
    <font>
      <b/>
      <sz val="8"/>
      <name val="Arial Narrow"/>
      <family val="2"/>
    </font>
    <font>
      <b/>
      <sz val="10"/>
      <name val="Arial"/>
      <family val="2"/>
    </font>
    <font>
      <i/>
      <sz val="10"/>
      <name val="Arial"/>
      <family val="2"/>
    </font>
    <font>
      <sz val="9"/>
      <color indexed="47"/>
      <name val="Arial"/>
      <family val="2"/>
    </font>
    <font>
      <u val="single"/>
      <sz val="10"/>
      <color indexed="12"/>
      <name val="Univers"/>
      <family val="0"/>
    </font>
    <font>
      <u val="single"/>
      <sz val="10"/>
      <color indexed="36"/>
      <name val="Univers"/>
      <family val="0"/>
    </font>
    <font>
      <sz val="12"/>
      <name val="Arial Narrow"/>
      <family val="2"/>
    </font>
    <font>
      <sz val="12"/>
      <name val="MS Sans Serif"/>
      <family val="2"/>
    </font>
    <font>
      <b/>
      <sz val="12"/>
      <name val="MS Sans Serif"/>
      <family val="2"/>
    </font>
    <font>
      <b/>
      <sz val="10"/>
      <name val="MS Sans Serif"/>
      <family val="2"/>
    </font>
    <font>
      <b/>
      <vertAlign val="superscript"/>
      <sz val="10"/>
      <name val="MS Sans Serif"/>
      <family val="2"/>
    </font>
    <font>
      <vertAlign val="superscript"/>
      <sz val="10"/>
      <name val="Univers"/>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4"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324">
    <xf numFmtId="0" fontId="0" fillId="0" borderId="0" xfId="0" applyAlignment="1">
      <alignment/>
    </xf>
    <xf numFmtId="0" fontId="7" fillId="0" borderId="0" xfId="28" applyNumberFormat="1" applyFont="1" applyFill="1" applyBorder="1" applyAlignment="1">
      <alignment horizontal="left"/>
      <protection/>
    </xf>
    <xf numFmtId="0" fontId="7" fillId="0" borderId="0" xfId="28" applyFont="1" applyFill="1" applyBorder="1" applyAlignment="1">
      <alignment horizontal="left"/>
      <protection/>
    </xf>
    <xf numFmtId="2" fontId="7" fillId="0" borderId="0" xfId="28" applyNumberFormat="1" applyFont="1" applyFill="1" applyBorder="1" applyAlignment="1">
      <alignment horizontal="left"/>
      <protection/>
    </xf>
    <xf numFmtId="0" fontId="7" fillId="0" borderId="0" xfId="28" applyFont="1" applyFill="1" applyBorder="1" applyAlignment="1" applyProtection="1">
      <alignment horizontal="left"/>
      <protection locked="0"/>
    </xf>
    <xf numFmtId="0" fontId="8" fillId="0" borderId="0" xfId="28" applyFont="1" applyFill="1" applyBorder="1" applyAlignment="1">
      <alignment horizontal="left"/>
      <protection/>
    </xf>
    <xf numFmtId="14" fontId="7" fillId="0" borderId="0" xfId="28" applyNumberFormat="1" applyFont="1" applyFill="1" applyBorder="1" applyAlignment="1" applyProtection="1">
      <alignment horizontal="left"/>
      <protection locked="0"/>
    </xf>
    <xf numFmtId="164" fontId="7" fillId="0" borderId="0" xfId="28" applyNumberFormat="1" applyFont="1" applyFill="1" applyBorder="1" applyAlignment="1" applyProtection="1">
      <alignment horizontal="left"/>
      <protection locked="0"/>
    </xf>
    <xf numFmtId="169" fontId="7" fillId="0" borderId="0" xfId="19" applyNumberFormat="1" applyFont="1" applyFill="1" applyBorder="1" applyAlignment="1" applyProtection="1">
      <alignment horizontal="left"/>
      <protection locked="0"/>
    </xf>
    <xf numFmtId="164" fontId="7" fillId="0" borderId="0" xfId="22" applyNumberFormat="1" applyFont="1" applyFill="1" applyBorder="1" applyAlignment="1" applyProtection="1">
      <alignment horizontal="left"/>
      <protection locked="0"/>
    </xf>
    <xf numFmtId="165" fontId="7" fillId="0" borderId="0" xfId="19" applyNumberFormat="1" applyFont="1" applyFill="1" applyBorder="1" applyAlignment="1" applyProtection="1">
      <alignment horizontal="left"/>
      <protection locked="0"/>
    </xf>
    <xf numFmtId="38" fontId="7" fillId="0" borderId="0" xfId="19" applyNumberFormat="1" applyFont="1" applyFill="1" applyBorder="1" applyAlignment="1" applyProtection="1">
      <alignment horizontal="left"/>
      <protection locked="0"/>
    </xf>
    <xf numFmtId="195" fontId="7" fillId="0" borderId="0" xfId="22" applyNumberFormat="1" applyFont="1" applyFill="1" applyBorder="1" applyAlignment="1" applyProtection="1">
      <alignment horizontal="left"/>
      <protection locked="0"/>
    </xf>
    <xf numFmtId="0" fontId="5" fillId="0" borderId="0" xfId="28" applyFont="1" applyFill="1" applyBorder="1" applyAlignment="1">
      <alignment horizontal="left"/>
      <protection/>
    </xf>
    <xf numFmtId="166" fontId="7" fillId="0" borderId="0" xfId="29" applyNumberFormat="1" applyFont="1" applyFill="1" applyBorder="1" applyAlignment="1" applyProtection="1">
      <alignment horizontal="left"/>
      <protection locked="0"/>
    </xf>
    <xf numFmtId="8" fontId="7" fillId="0" borderId="0" xfId="22" applyNumberFormat="1" applyFont="1" applyFill="1" applyBorder="1" applyAlignment="1" applyProtection="1">
      <alignment horizontal="left"/>
      <protection locked="0"/>
    </xf>
    <xf numFmtId="165" fontId="7" fillId="0" borderId="0" xfId="28" applyNumberFormat="1" applyFont="1" applyFill="1" applyBorder="1" applyAlignment="1">
      <alignment horizontal="left"/>
      <protection/>
    </xf>
    <xf numFmtId="166" fontId="7" fillId="0" borderId="0" xfId="29" applyNumberFormat="1" applyFont="1" applyFill="1" applyBorder="1" applyAlignment="1">
      <alignment horizontal="left"/>
    </xf>
    <xf numFmtId="165" fontId="7" fillId="0" borderId="0" xfId="29" applyNumberFormat="1" applyFont="1" applyFill="1" applyBorder="1" applyAlignment="1">
      <alignment horizontal="left"/>
    </xf>
    <xf numFmtId="2" fontId="7" fillId="0" borderId="0" xfId="29" applyNumberFormat="1" applyFont="1" applyFill="1" applyBorder="1" applyAlignment="1">
      <alignment horizontal="left"/>
    </xf>
    <xf numFmtId="0" fontId="5" fillId="0" borderId="0" xfId="28">
      <alignment/>
      <protection/>
    </xf>
    <xf numFmtId="166" fontId="7" fillId="0" borderId="0" xfId="28" applyNumberFormat="1" applyFont="1" applyFill="1" applyBorder="1" applyAlignment="1">
      <alignment horizontal="left"/>
      <protection/>
    </xf>
    <xf numFmtId="0" fontId="7" fillId="0" borderId="0" xfId="28" applyNumberFormat="1" applyFont="1" applyFill="1" applyBorder="1" applyAlignment="1">
      <alignment horizontal="left"/>
      <protection/>
    </xf>
    <xf numFmtId="8" fontId="7" fillId="0" borderId="0" xfId="22" applyFont="1" applyFill="1" applyBorder="1" applyAlignment="1">
      <alignment horizontal="left"/>
    </xf>
    <xf numFmtId="0" fontId="5" fillId="0" borderId="0" xfId="28" applyFont="1">
      <alignment/>
      <protection/>
    </xf>
    <xf numFmtId="7" fontId="7" fillId="0" borderId="0" xfId="28" applyNumberFormat="1" applyFont="1" applyFill="1" applyBorder="1" applyAlignment="1">
      <alignment horizontal="left"/>
      <protection/>
    </xf>
    <xf numFmtId="0" fontId="5" fillId="0" borderId="0" xfId="28" applyFont="1" applyFill="1" applyBorder="1">
      <alignment/>
      <protection/>
    </xf>
    <xf numFmtId="164" fontId="7" fillId="0" borderId="0" xfId="28" applyNumberFormat="1" applyFont="1" applyFill="1" applyBorder="1" applyAlignment="1">
      <alignment horizontal="left"/>
      <protection/>
    </xf>
    <xf numFmtId="8" fontId="7" fillId="0" borderId="0" xfId="22" applyFont="1" applyFill="1" applyBorder="1" applyAlignment="1" applyProtection="1">
      <alignment horizontal="left"/>
      <protection locked="0"/>
    </xf>
    <xf numFmtId="8" fontId="7" fillId="0" borderId="0" xfId="22" applyFont="1" applyFill="1" applyBorder="1" applyAlignment="1">
      <alignment horizontal="left"/>
    </xf>
    <xf numFmtId="165" fontId="7" fillId="0" borderId="0" xfId="28" applyNumberFormat="1" applyFont="1" applyFill="1" applyBorder="1" applyAlignment="1">
      <alignment horizontal="left"/>
      <protection/>
    </xf>
    <xf numFmtId="8" fontId="7" fillId="0" borderId="0" xfId="28" applyNumberFormat="1" applyFont="1" applyFill="1" applyBorder="1" applyAlignment="1">
      <alignment horizontal="left"/>
      <protection/>
    </xf>
    <xf numFmtId="0" fontId="7" fillId="0" borderId="0" xfId="28" applyFont="1" applyFill="1" applyAlignment="1">
      <alignment horizontal="left"/>
      <protection/>
    </xf>
    <xf numFmtId="0" fontId="7" fillId="0" borderId="0" xfId="28" applyNumberFormat="1" applyFont="1" applyFill="1" applyAlignment="1">
      <alignment horizontal="left"/>
      <protection/>
    </xf>
    <xf numFmtId="166" fontId="7" fillId="0" borderId="0" xfId="28" applyNumberFormat="1" applyFont="1" applyFill="1" applyAlignment="1">
      <alignment horizontal="left"/>
      <protection/>
    </xf>
    <xf numFmtId="14" fontId="0" fillId="0" borderId="0" xfId="0" applyNumberFormat="1" applyAlignment="1">
      <alignment/>
    </xf>
    <xf numFmtId="1" fontId="16" fillId="0" borderId="0" xfId="25" applyNumberFormat="1" applyFont="1" applyBorder="1" applyAlignment="1" applyProtection="1">
      <alignment horizontal="center"/>
      <protection/>
    </xf>
    <xf numFmtId="0" fontId="17" fillId="0" borderId="0" xfId="25" applyFont="1" applyBorder="1" applyAlignment="1">
      <alignment horizontal="right" wrapText="1"/>
      <protection/>
    </xf>
    <xf numFmtId="174" fontId="11" fillId="0" borderId="0" xfId="17" applyNumberFormat="1" applyFont="1" applyBorder="1" applyAlignment="1" applyProtection="1">
      <alignment horizontal="center"/>
      <protection hidden="1"/>
    </xf>
    <xf numFmtId="171" fontId="11" fillId="0" borderId="0" xfId="17" applyNumberFormat="1" applyFont="1" applyBorder="1" applyAlignment="1" applyProtection="1">
      <alignment horizontal="center"/>
      <protection hidden="1"/>
    </xf>
    <xf numFmtId="1" fontId="11" fillId="0" borderId="0" xfId="17" applyNumberFormat="1" applyFont="1" applyBorder="1" applyAlignment="1" applyProtection="1">
      <alignment horizontal="center"/>
      <protection hidden="1"/>
    </xf>
    <xf numFmtId="1" fontId="11" fillId="0" borderId="0" xfId="25" applyNumberFormat="1" applyFont="1" applyBorder="1" applyAlignment="1" applyProtection="1">
      <alignment horizontal="center"/>
      <protection hidden="1"/>
    </xf>
    <xf numFmtId="0" fontId="11" fillId="0" borderId="0" xfId="25" applyFont="1" applyBorder="1">
      <alignment/>
      <protection/>
    </xf>
    <xf numFmtId="2" fontId="16" fillId="0" borderId="0" xfId="25" applyNumberFormat="1" applyFont="1" applyBorder="1" applyAlignment="1" applyProtection="1">
      <alignment horizontal="center"/>
      <protection/>
    </xf>
    <xf numFmtId="165" fontId="11" fillId="0" borderId="0" xfId="17" applyNumberFormat="1" applyFont="1" applyBorder="1" applyAlignment="1">
      <alignment horizontal="right"/>
    </xf>
    <xf numFmtId="0" fontId="11" fillId="0" borderId="0" xfId="25" applyFont="1" applyBorder="1" applyAlignment="1">
      <alignment horizontal="right"/>
      <protection/>
    </xf>
    <xf numFmtId="0" fontId="11" fillId="0" borderId="0" xfId="25" applyFont="1" applyBorder="1" applyProtection="1">
      <alignment/>
      <protection/>
    </xf>
    <xf numFmtId="170" fontId="11" fillId="0" borderId="0" xfId="25" applyNumberFormat="1" applyFont="1" applyBorder="1" applyAlignment="1" applyProtection="1">
      <alignment horizontal="center"/>
      <protection hidden="1"/>
    </xf>
    <xf numFmtId="1" fontId="11" fillId="2" borderId="0" xfId="25" applyNumberFormat="1" applyFont="1" applyFill="1" applyBorder="1" applyAlignment="1" applyProtection="1">
      <alignment horizontal="center"/>
      <protection hidden="1"/>
    </xf>
    <xf numFmtId="0" fontId="11" fillId="0" borderId="0" xfId="25" applyFont="1" applyBorder="1" applyAlignment="1">
      <alignment horizontal="left"/>
      <protection/>
    </xf>
    <xf numFmtId="0" fontId="28" fillId="0" borderId="0" xfId="25" applyFont="1" applyBorder="1" applyAlignment="1" quotePrefix="1">
      <alignment horizontal="left"/>
      <protection/>
    </xf>
    <xf numFmtId="0" fontId="10" fillId="3" borderId="0" xfId="27" applyFont="1" applyFill="1" applyProtection="1">
      <alignment/>
      <protection/>
    </xf>
    <xf numFmtId="0" fontId="22" fillId="3" borderId="0" xfId="27" applyFont="1" applyFill="1" applyProtection="1">
      <alignment/>
      <protection/>
    </xf>
    <xf numFmtId="0" fontId="22" fillId="3" borderId="0" xfId="27" applyFont="1" applyFill="1" applyBorder="1" applyProtection="1">
      <alignment/>
      <protection/>
    </xf>
    <xf numFmtId="0" fontId="10" fillId="0" borderId="0" xfId="27" applyFont="1" applyFill="1" applyProtection="1">
      <alignment/>
      <protection/>
    </xf>
    <xf numFmtId="0" fontId="10" fillId="0" borderId="0" xfId="27" applyFont="1" applyFill="1" applyBorder="1" applyProtection="1">
      <alignment/>
      <protection/>
    </xf>
    <xf numFmtId="0" fontId="23" fillId="0" borderId="0" xfId="27" applyFont="1" applyProtection="1">
      <alignment/>
      <protection/>
    </xf>
    <xf numFmtId="0" fontId="24" fillId="0" borderId="0" xfId="27" applyFont="1" applyBorder="1" applyAlignment="1" applyProtection="1">
      <alignment/>
      <protection/>
    </xf>
    <xf numFmtId="0" fontId="23" fillId="0" borderId="0" xfId="27" applyFont="1" applyBorder="1" applyProtection="1">
      <alignment/>
      <protection/>
    </xf>
    <xf numFmtId="0" fontId="10" fillId="0" borderId="0" xfId="27" applyFont="1" applyProtection="1">
      <alignment/>
      <protection/>
    </xf>
    <xf numFmtId="0" fontId="21" fillId="0" borderId="1" xfId="27" applyFont="1" applyBorder="1" applyProtection="1">
      <alignment/>
      <protection/>
    </xf>
    <xf numFmtId="0" fontId="5" fillId="0" borderId="1" xfId="27" applyFont="1" applyBorder="1" applyProtection="1">
      <alignment/>
      <protection/>
    </xf>
    <xf numFmtId="0" fontId="21" fillId="0" borderId="1" xfId="27" applyFont="1" applyBorder="1" applyAlignment="1" applyProtection="1" quotePrefix="1">
      <alignment horizontal="left"/>
      <protection/>
    </xf>
    <xf numFmtId="0" fontId="10" fillId="0" borderId="0" xfId="27" applyFont="1" applyBorder="1" applyProtection="1">
      <alignment/>
      <protection/>
    </xf>
    <xf numFmtId="0" fontId="22" fillId="0" borderId="0" xfId="27" applyFont="1" applyBorder="1" applyProtection="1">
      <alignment/>
      <protection/>
    </xf>
    <xf numFmtId="184" fontId="8" fillId="0" borderId="0" xfId="15" applyNumberFormat="1" applyFont="1" applyBorder="1" applyAlignment="1" applyProtection="1">
      <alignment/>
      <protection/>
    </xf>
    <xf numFmtId="0" fontId="22" fillId="0" borderId="2" xfId="27" applyFont="1" applyBorder="1" applyProtection="1">
      <alignment/>
      <protection/>
    </xf>
    <xf numFmtId="0" fontId="9" fillId="0" borderId="0" xfId="27" applyFont="1" applyBorder="1" applyAlignment="1" applyProtection="1" quotePrefix="1">
      <alignment horizontal="right"/>
      <protection/>
    </xf>
    <xf numFmtId="0" fontId="22" fillId="0" borderId="0" xfId="27" applyFont="1" applyProtection="1">
      <alignment/>
      <protection/>
    </xf>
    <xf numFmtId="0" fontId="26" fillId="0" borderId="1" xfId="27" applyFont="1" applyBorder="1" applyAlignment="1" applyProtection="1">
      <alignment horizontal="left"/>
      <protection/>
    </xf>
    <xf numFmtId="0" fontId="26" fillId="0" borderId="1" xfId="27" applyFont="1" applyBorder="1" applyAlignment="1" applyProtection="1">
      <alignment horizontal="right"/>
      <protection/>
    </xf>
    <xf numFmtId="207" fontId="8" fillId="0" borderId="0" xfId="15" applyNumberFormat="1" applyFont="1" applyBorder="1" applyAlignment="1" applyProtection="1">
      <alignment horizontal="right"/>
      <protection/>
    </xf>
    <xf numFmtId="165" fontId="22" fillId="0" borderId="0" xfId="27" applyNumberFormat="1" applyFont="1" applyBorder="1" applyProtection="1">
      <alignment/>
      <protection/>
    </xf>
    <xf numFmtId="0" fontId="9" fillId="4" borderId="0" xfId="27" applyFont="1" applyFill="1" applyBorder="1" applyAlignment="1" applyProtection="1" quotePrefix="1">
      <alignment horizontal="right"/>
      <protection/>
    </xf>
    <xf numFmtId="207" fontId="8" fillId="4" borderId="0" xfId="15" applyNumberFormat="1" applyFont="1" applyFill="1" applyBorder="1" applyAlignment="1" applyProtection="1">
      <alignment horizontal="right"/>
      <protection/>
    </xf>
    <xf numFmtId="165" fontId="22" fillId="4" borderId="0" xfId="27" applyNumberFormat="1" applyFont="1" applyFill="1" applyBorder="1" applyProtection="1">
      <alignment/>
      <protection/>
    </xf>
    <xf numFmtId="0" fontId="9" fillId="0" borderId="0" xfId="27" applyFont="1" applyFill="1" applyBorder="1" applyAlignment="1" applyProtection="1">
      <alignment horizontal="right"/>
      <protection/>
    </xf>
    <xf numFmtId="198" fontId="8" fillId="0" borderId="0" xfId="29" applyNumberFormat="1" applyFont="1" applyFill="1" applyBorder="1" applyAlignment="1" applyProtection="1">
      <alignment horizontal="right"/>
      <protection/>
    </xf>
    <xf numFmtId="208" fontId="8" fillId="0" borderId="0" xfId="15" applyNumberFormat="1" applyFont="1" applyBorder="1" applyAlignment="1" applyProtection="1">
      <alignment horizontal="right"/>
      <protection/>
    </xf>
    <xf numFmtId="2" fontId="22" fillId="0" borderId="0" xfId="27" applyNumberFormat="1" applyFont="1" applyBorder="1" applyProtection="1">
      <alignment/>
      <protection/>
    </xf>
    <xf numFmtId="0" fontId="9" fillId="0" borderId="0" xfId="27" applyFont="1" applyBorder="1" applyAlignment="1" applyProtection="1">
      <alignment horizontal="right"/>
      <protection/>
    </xf>
    <xf numFmtId="208" fontId="8" fillId="4" borderId="0" xfId="15" applyNumberFormat="1" applyFont="1" applyFill="1" applyBorder="1" applyAlignment="1" applyProtection="1">
      <alignment horizontal="right"/>
      <protection/>
    </xf>
    <xf numFmtId="166" fontId="8" fillId="0" borderId="0" xfId="29" applyNumberFormat="1" applyFont="1" applyBorder="1" applyAlignment="1" applyProtection="1">
      <alignment horizontal="right"/>
      <protection/>
    </xf>
    <xf numFmtId="43" fontId="8" fillId="4" borderId="0" xfId="15" applyFont="1" applyFill="1" applyBorder="1" applyAlignment="1" applyProtection="1">
      <alignment horizontal="right"/>
      <protection/>
    </xf>
    <xf numFmtId="0" fontId="9" fillId="4" borderId="0" xfId="27" applyFont="1" applyFill="1" applyBorder="1" applyAlignment="1" applyProtection="1">
      <alignment horizontal="right"/>
      <protection/>
    </xf>
    <xf numFmtId="2" fontId="22" fillId="4" borderId="0" xfId="27" applyNumberFormat="1" applyFont="1" applyFill="1" applyBorder="1" applyProtection="1">
      <alignment/>
      <protection/>
    </xf>
    <xf numFmtId="43" fontId="8" fillId="0" borderId="0" xfId="15" applyFont="1" applyBorder="1" applyAlignment="1" applyProtection="1">
      <alignment horizontal="right"/>
      <protection/>
    </xf>
    <xf numFmtId="2" fontId="22" fillId="0" borderId="1" xfId="27" applyNumberFormat="1" applyFont="1" applyBorder="1" applyProtection="1">
      <alignment/>
      <protection/>
    </xf>
    <xf numFmtId="0" fontId="8" fillId="0" borderId="0" xfId="27" applyFont="1" applyBorder="1" applyAlignment="1" applyProtection="1">
      <alignment horizontal="left"/>
      <protection/>
    </xf>
    <xf numFmtId="0" fontId="22" fillId="0" borderId="0" xfId="27" applyFont="1" applyBorder="1" applyAlignment="1" applyProtection="1">
      <alignment horizontal="left"/>
      <protection/>
    </xf>
    <xf numFmtId="0" fontId="9" fillId="0" borderId="0" xfId="27" applyFont="1" applyBorder="1" applyAlignment="1" applyProtection="1">
      <alignment horizontal="left"/>
      <protection/>
    </xf>
    <xf numFmtId="0" fontId="9" fillId="4" borderId="0" xfId="27" applyFont="1" applyFill="1" applyBorder="1" applyAlignment="1" applyProtection="1">
      <alignment horizontal="left"/>
      <protection/>
    </xf>
    <xf numFmtId="2" fontId="8" fillId="4" borderId="0" xfId="29" applyNumberFormat="1" applyFont="1" applyFill="1" applyBorder="1" applyAlignment="1" applyProtection="1">
      <alignment horizontal="right"/>
      <protection/>
    </xf>
    <xf numFmtId="0" fontId="9" fillId="0" borderId="0" xfId="27" applyFont="1" applyFill="1" applyBorder="1" applyAlignment="1" applyProtection="1">
      <alignment horizontal="left"/>
      <protection/>
    </xf>
    <xf numFmtId="2" fontId="8" fillId="0" borderId="0" xfId="29" applyNumberFormat="1" applyFont="1" applyBorder="1" applyAlignment="1" applyProtection="1">
      <alignment horizontal="right"/>
      <protection/>
    </xf>
    <xf numFmtId="0" fontId="22" fillId="0" borderId="0" xfId="27" applyFont="1" applyFill="1" applyBorder="1" applyProtection="1">
      <alignment/>
      <protection/>
    </xf>
    <xf numFmtId="0" fontId="22" fillId="4" borderId="0" xfId="27" applyFont="1" applyFill="1" applyBorder="1" applyProtection="1">
      <alignment/>
      <protection/>
    </xf>
    <xf numFmtId="0" fontId="22" fillId="0" borderId="1" xfId="27" applyFont="1" applyBorder="1" applyProtection="1">
      <alignment/>
      <protection/>
    </xf>
    <xf numFmtId="0" fontId="8" fillId="0" borderId="1" xfId="27" applyFont="1" applyBorder="1" applyProtection="1">
      <alignment/>
      <protection/>
    </xf>
    <xf numFmtId="166" fontId="8" fillId="0" borderId="1" xfId="29" applyNumberFormat="1" applyFont="1" applyBorder="1" applyAlignment="1" applyProtection="1">
      <alignment/>
      <protection/>
    </xf>
    <xf numFmtId="0" fontId="5" fillId="0" borderId="3" xfId="27" applyFont="1" applyBorder="1" applyAlignment="1" applyProtection="1">
      <alignment horizontal="left"/>
      <protection/>
    </xf>
    <xf numFmtId="200" fontId="8" fillId="0" borderId="1" xfId="29" applyNumberFormat="1" applyFont="1" applyBorder="1" applyAlignment="1" applyProtection="1">
      <alignment horizontal="right"/>
      <protection/>
    </xf>
    <xf numFmtId="2" fontId="8" fillId="0" borderId="1" xfId="29" applyNumberFormat="1" applyFont="1" applyBorder="1" applyAlignment="1" applyProtection="1">
      <alignment horizontal="right"/>
      <protection/>
    </xf>
    <xf numFmtId="166" fontId="8" fillId="0" borderId="0" xfId="29" applyNumberFormat="1" applyFont="1" applyBorder="1" applyAlignment="1" applyProtection="1">
      <alignment/>
      <protection/>
    </xf>
    <xf numFmtId="0" fontId="9" fillId="0" borderId="0" xfId="27" applyFont="1" applyBorder="1" applyProtection="1">
      <alignment/>
      <protection/>
    </xf>
    <xf numFmtId="0" fontId="9" fillId="0" borderId="0" xfId="27" applyFont="1" applyBorder="1" applyAlignment="1" applyProtection="1">
      <alignment horizontal="center"/>
      <protection/>
    </xf>
    <xf numFmtId="0" fontId="9" fillId="0" borderId="0" xfId="27" applyFont="1" applyAlignment="1" applyProtection="1">
      <alignment horizontal="center"/>
      <protection/>
    </xf>
    <xf numFmtId="0" fontId="9" fillId="0" borderId="0" xfId="27" applyFont="1" applyProtection="1">
      <alignment/>
      <protection/>
    </xf>
    <xf numFmtId="40" fontId="8" fillId="0" borderId="0" xfId="27" applyNumberFormat="1" applyFont="1" applyBorder="1" applyAlignment="1" applyProtection="1">
      <alignment horizontal="center"/>
      <protection/>
    </xf>
    <xf numFmtId="2" fontId="8" fillId="0" borderId="0" xfId="27" applyNumberFormat="1" applyFont="1" applyBorder="1" applyAlignment="1" applyProtection="1">
      <alignment horizontal="center"/>
      <protection/>
    </xf>
    <xf numFmtId="0" fontId="9" fillId="4" borderId="0" xfId="27" applyFont="1" applyFill="1" applyBorder="1" applyProtection="1">
      <alignment/>
      <protection/>
    </xf>
    <xf numFmtId="40" fontId="8" fillId="4" borderId="0" xfId="27" applyNumberFormat="1" applyFont="1" applyFill="1" applyBorder="1" applyAlignment="1" applyProtection="1">
      <alignment horizontal="center"/>
      <protection/>
    </xf>
    <xf numFmtId="2" fontId="8" fillId="4" borderId="0" xfId="27" applyNumberFormat="1" applyFont="1" applyFill="1" applyBorder="1" applyAlignment="1" applyProtection="1">
      <alignment horizontal="center"/>
      <protection/>
    </xf>
    <xf numFmtId="0" fontId="9" fillId="4" borderId="0" xfId="27" applyFont="1" applyFill="1" applyBorder="1" applyAlignment="1" applyProtection="1">
      <alignment horizontal="center"/>
      <protection/>
    </xf>
    <xf numFmtId="0" fontId="9" fillId="0" borderId="1" xfId="27" applyFont="1" applyBorder="1" applyAlignment="1" applyProtection="1" quotePrefix="1">
      <alignment horizontal="right"/>
      <protection/>
    </xf>
    <xf numFmtId="0" fontId="22" fillId="0" borderId="1" xfId="27" applyFont="1" applyFill="1" applyBorder="1" applyAlignment="1" applyProtection="1">
      <alignment horizontal="center"/>
      <protection/>
    </xf>
    <xf numFmtId="0" fontId="22" fillId="0" borderId="1" xfId="27" applyFont="1" applyFill="1" applyBorder="1" applyProtection="1">
      <alignment/>
      <protection/>
    </xf>
    <xf numFmtId="0" fontId="9" fillId="0" borderId="4" xfId="27" applyFont="1" applyBorder="1" applyAlignment="1" applyProtection="1" quotePrefix="1">
      <alignment horizontal="right"/>
      <protection/>
    </xf>
    <xf numFmtId="0" fontId="22" fillId="0" borderId="4" xfId="27" applyFont="1" applyFill="1" applyBorder="1" applyAlignment="1" applyProtection="1">
      <alignment horizontal="center"/>
      <protection/>
    </xf>
    <xf numFmtId="0" fontId="5" fillId="0" borderId="1" xfId="27" applyFont="1" applyBorder="1" applyAlignment="1" applyProtection="1" quotePrefix="1">
      <alignment horizontal="left"/>
      <protection/>
    </xf>
    <xf numFmtId="0" fontId="22" fillId="0" borderId="0" xfId="27" applyFont="1" applyAlignment="1" applyProtection="1">
      <alignment horizontal="right"/>
      <protection/>
    </xf>
    <xf numFmtId="165" fontId="8" fillId="0" borderId="0" xfId="27" applyNumberFormat="1" applyFont="1" applyAlignment="1" applyProtection="1">
      <alignment horizontal="left"/>
      <protection/>
    </xf>
    <xf numFmtId="165" fontId="8" fillId="0" borderId="0" xfId="27" applyNumberFormat="1" applyFont="1" applyBorder="1" applyAlignment="1" applyProtection="1">
      <alignment horizontal="left"/>
      <protection/>
    </xf>
    <xf numFmtId="165" fontId="8" fillId="0" borderId="0" xfId="27" applyNumberFormat="1" applyFont="1" applyFill="1" applyProtection="1">
      <alignment/>
      <protection/>
    </xf>
    <xf numFmtId="171" fontId="8" fillId="0" borderId="0" xfId="27" applyNumberFormat="1" applyFont="1" applyFill="1" applyBorder="1" applyProtection="1">
      <alignment/>
      <protection/>
    </xf>
    <xf numFmtId="171" fontId="8" fillId="0" borderId="0" xfId="27" applyNumberFormat="1" applyFont="1" applyFill="1" applyProtection="1">
      <alignment/>
      <protection/>
    </xf>
    <xf numFmtId="207" fontId="8" fillId="0" borderId="0" xfId="27" applyNumberFormat="1" applyFont="1" applyFill="1" applyProtection="1">
      <alignment/>
      <protection/>
    </xf>
    <xf numFmtId="166" fontId="8" fillId="0" borderId="0" xfId="29" applyNumberFormat="1" applyFont="1" applyFill="1" applyAlignment="1" applyProtection="1">
      <alignment/>
      <protection/>
    </xf>
    <xf numFmtId="165" fontId="8" fillId="4" borderId="0" xfId="27" applyNumberFormat="1" applyFont="1" applyFill="1" applyProtection="1">
      <alignment/>
      <protection/>
    </xf>
    <xf numFmtId="171" fontId="8" fillId="4" borderId="0" xfId="27" applyNumberFormat="1" applyFont="1" applyFill="1" applyBorder="1" applyProtection="1">
      <alignment/>
      <protection/>
    </xf>
    <xf numFmtId="171" fontId="8" fillId="4" borderId="0" xfId="27" applyNumberFormat="1" applyFont="1" applyFill="1" applyProtection="1">
      <alignment/>
      <protection/>
    </xf>
    <xf numFmtId="207" fontId="8" fillId="4" borderId="0" xfId="27" applyNumberFormat="1" applyFont="1" applyFill="1" applyProtection="1">
      <alignment/>
      <protection/>
    </xf>
    <xf numFmtId="166" fontId="8" fillId="4" borderId="0" xfId="29" applyNumberFormat="1" applyFont="1" applyFill="1" applyAlignment="1" applyProtection="1">
      <alignment/>
      <protection/>
    </xf>
    <xf numFmtId="165" fontId="8" fillId="0" borderId="0" xfId="27" applyNumberFormat="1" applyFont="1" applyFill="1" applyBorder="1" applyProtection="1">
      <alignment/>
      <protection/>
    </xf>
    <xf numFmtId="207" fontId="8" fillId="0" borderId="0" xfId="27" applyNumberFormat="1" applyFont="1" applyFill="1" applyBorder="1" applyProtection="1">
      <alignment/>
      <protection/>
    </xf>
    <xf numFmtId="166" fontId="8" fillId="0" borderId="0" xfId="29" applyNumberFormat="1" applyFont="1" applyFill="1" applyBorder="1" applyAlignment="1" applyProtection="1">
      <alignment/>
      <protection/>
    </xf>
    <xf numFmtId="165" fontId="8" fillId="4" borderId="0" xfId="27" applyNumberFormat="1" applyFont="1" applyFill="1" applyBorder="1" applyProtection="1">
      <alignment/>
      <protection/>
    </xf>
    <xf numFmtId="207" fontId="8" fillId="4" borderId="0" xfId="27" applyNumberFormat="1" applyFont="1" applyFill="1" applyBorder="1" applyProtection="1">
      <alignment/>
      <protection/>
    </xf>
    <xf numFmtId="166" fontId="8" fillId="4" borderId="0" xfId="29" applyNumberFormat="1" applyFont="1" applyFill="1" applyBorder="1" applyAlignment="1" applyProtection="1">
      <alignment/>
      <protection/>
    </xf>
    <xf numFmtId="207" fontId="27" fillId="0" borderId="0" xfId="27" applyNumberFormat="1" applyFont="1" applyFill="1" applyBorder="1" applyProtection="1">
      <alignment/>
      <protection/>
    </xf>
    <xf numFmtId="207" fontId="27" fillId="4" borderId="0" xfId="27" applyNumberFormat="1" applyFont="1" applyFill="1" applyBorder="1" applyProtection="1">
      <alignment/>
      <protection/>
    </xf>
    <xf numFmtId="0" fontId="5" fillId="0" borderId="1" xfId="27" applyFont="1" applyBorder="1" applyAlignment="1" applyProtection="1">
      <alignment horizontal="right"/>
      <protection/>
    </xf>
    <xf numFmtId="0" fontId="5" fillId="0" borderId="0" xfId="27" applyFont="1" applyBorder="1" applyAlignment="1" applyProtection="1">
      <alignment horizontal="right"/>
      <protection/>
    </xf>
    <xf numFmtId="0" fontId="21" fillId="0" borderId="0" xfId="27" applyFont="1" applyProtection="1">
      <alignment/>
      <protection/>
    </xf>
    <xf numFmtId="0" fontId="21" fillId="0" borderId="1" xfId="27" applyFont="1" applyBorder="1" applyAlignment="1" applyProtection="1">
      <alignment horizontal="left"/>
      <protection/>
    </xf>
    <xf numFmtId="201" fontId="8" fillId="4" borderId="0" xfId="20" applyNumberFormat="1" applyFont="1" applyFill="1" applyBorder="1" applyAlignment="1" applyProtection="1">
      <alignment/>
      <protection/>
    </xf>
    <xf numFmtId="14" fontId="10" fillId="0" borderId="0" xfId="27" applyNumberFormat="1" applyFont="1" applyProtection="1">
      <alignment/>
      <protection/>
    </xf>
    <xf numFmtId="0" fontId="31" fillId="0" borderId="0" xfId="27" applyFont="1" applyBorder="1" applyAlignment="1" applyProtection="1">
      <alignment/>
      <protection/>
    </xf>
    <xf numFmtId="200" fontId="31" fillId="0" borderId="0" xfId="20" applyNumberFormat="1" applyFont="1" applyBorder="1" applyAlignment="1" applyProtection="1">
      <alignment horizontal="left"/>
      <protection/>
    </xf>
    <xf numFmtId="200" fontId="8" fillId="0" borderId="0" xfId="20" applyNumberFormat="1" applyFont="1" applyBorder="1" applyAlignment="1" applyProtection="1">
      <alignment horizontal="left"/>
      <protection/>
    </xf>
    <xf numFmtId="169" fontId="31" fillId="0" borderId="0" xfId="18" applyNumberFormat="1" applyFont="1" applyBorder="1" applyAlignment="1" applyProtection="1">
      <alignment horizontal="left"/>
      <protection/>
    </xf>
    <xf numFmtId="0" fontId="9" fillId="0" borderId="0" xfId="0" applyFont="1" applyBorder="1" applyAlignment="1" applyProtection="1" quotePrefix="1">
      <alignment horizontal="right"/>
      <protection/>
    </xf>
    <xf numFmtId="2" fontId="27" fillId="0" borderId="1" xfId="27" applyNumberFormat="1" applyFont="1" applyBorder="1" applyAlignment="1" applyProtection="1">
      <alignment horizontal="center"/>
      <protection/>
    </xf>
    <xf numFmtId="2" fontId="27" fillId="0" borderId="4" xfId="27" applyNumberFormat="1" applyFont="1" applyBorder="1" applyAlignment="1" applyProtection="1">
      <alignment horizontal="center"/>
      <protection/>
    </xf>
    <xf numFmtId="165" fontId="27" fillId="0" borderId="1" xfId="27" applyNumberFormat="1" applyFont="1" applyBorder="1" applyAlignment="1" applyProtection="1">
      <alignment horizontal="center"/>
      <protection/>
    </xf>
    <xf numFmtId="165" fontId="27" fillId="0" borderId="4" xfId="27" applyNumberFormat="1" applyFont="1" applyBorder="1" applyAlignment="1" applyProtection="1">
      <alignment horizontal="center"/>
      <protection/>
    </xf>
    <xf numFmtId="166" fontId="27" fillId="0" borderId="1" xfId="29" applyNumberFormat="1" applyFont="1" applyBorder="1" applyAlignment="1" applyProtection="1">
      <alignment horizontal="center"/>
      <protection/>
    </xf>
    <xf numFmtId="166" fontId="27" fillId="0" borderId="4" xfId="29" applyNumberFormat="1" applyFont="1" applyBorder="1" applyAlignment="1" applyProtection="1">
      <alignment horizontal="center"/>
      <protection/>
    </xf>
    <xf numFmtId="166" fontId="27" fillId="0" borderId="5" xfId="29" applyNumberFormat="1" applyFont="1" applyBorder="1" applyAlignment="1" applyProtection="1">
      <alignment horizontal="left"/>
      <protection/>
    </xf>
    <xf numFmtId="166" fontId="27" fillId="0" borderId="0" xfId="29" applyNumberFormat="1" applyFont="1" applyFill="1" applyBorder="1" applyAlignment="1" applyProtection="1">
      <alignment horizontal="right"/>
      <protection/>
    </xf>
    <xf numFmtId="166" fontId="27" fillId="0" borderId="0" xfId="29" applyNumberFormat="1" applyFont="1" applyBorder="1" applyAlignment="1" applyProtection="1">
      <alignment horizontal="right"/>
      <protection/>
    </xf>
    <xf numFmtId="166" fontId="27" fillId="4" borderId="0" xfId="29" applyNumberFormat="1" applyFont="1" applyFill="1" applyBorder="1" applyAlignment="1" applyProtection="1">
      <alignment horizontal="right"/>
      <protection/>
    </xf>
    <xf numFmtId="198" fontId="27" fillId="0" borderId="0" xfId="29" applyNumberFormat="1" applyFont="1" applyBorder="1" applyAlignment="1" applyProtection="1">
      <alignment horizontal="center"/>
      <protection/>
    </xf>
    <xf numFmtId="198" fontId="27" fillId="4" borderId="0" xfId="29" applyNumberFormat="1" applyFont="1" applyFill="1" applyBorder="1" applyAlignment="1" applyProtection="1">
      <alignment horizontal="center"/>
      <protection/>
    </xf>
    <xf numFmtId="169" fontId="27" fillId="0" borderId="0" xfId="27" applyNumberFormat="1" applyFont="1" applyBorder="1" applyAlignment="1" applyProtection="1">
      <alignment horizontal="center"/>
      <protection/>
    </xf>
    <xf numFmtId="169" fontId="27" fillId="4" borderId="0" xfId="27" applyNumberFormat="1" applyFont="1" applyFill="1" applyBorder="1" applyAlignment="1" applyProtection="1">
      <alignment horizontal="center"/>
      <protection/>
    </xf>
    <xf numFmtId="165" fontId="11" fillId="0" borderId="0" xfId="17" applyNumberFormat="1" applyFont="1" applyBorder="1" applyAlignment="1" quotePrefix="1">
      <alignment horizontal="left"/>
    </xf>
    <xf numFmtId="0" fontId="11" fillId="0" borderId="0" xfId="25" applyFont="1" applyBorder="1" applyAlignment="1" quotePrefix="1">
      <alignment horizontal="left"/>
      <protection/>
    </xf>
    <xf numFmtId="0" fontId="11" fillId="0" borderId="0" xfId="25" applyFont="1" applyBorder="1" applyAlignment="1" quotePrefix="1">
      <alignment horizontal="center"/>
      <protection/>
    </xf>
    <xf numFmtId="0" fontId="22" fillId="0" borderId="6" xfId="27" applyFont="1" applyBorder="1" applyProtection="1">
      <alignment/>
      <protection/>
    </xf>
    <xf numFmtId="0" fontId="22" fillId="0" borderId="7" xfId="27" applyFont="1" applyBorder="1" applyProtection="1">
      <alignment/>
      <protection/>
    </xf>
    <xf numFmtId="0" fontId="9" fillId="0" borderId="2" xfId="27" applyFont="1" applyBorder="1" applyAlignment="1" applyProtection="1" quotePrefix="1">
      <alignment horizontal="right"/>
      <protection/>
    </xf>
    <xf numFmtId="0" fontId="25" fillId="0" borderId="0" xfId="27" applyFont="1" applyBorder="1" applyProtection="1">
      <alignment/>
      <protection/>
    </xf>
    <xf numFmtId="0" fontId="21" fillId="0" borderId="0" xfId="27" applyFont="1" applyBorder="1" applyProtection="1">
      <alignment/>
      <protection/>
    </xf>
    <xf numFmtId="0" fontId="10" fillId="0" borderId="1" xfId="27" applyFont="1" applyBorder="1" applyProtection="1">
      <alignment/>
      <protection/>
    </xf>
    <xf numFmtId="0" fontId="21" fillId="0" borderId="1" xfId="27" applyFont="1" applyBorder="1" applyAlignment="1" applyProtection="1">
      <alignment horizontal="right"/>
      <protection/>
    </xf>
    <xf numFmtId="0" fontId="25" fillId="0" borderId="1" xfId="27" applyFont="1" applyBorder="1" applyProtection="1">
      <alignment/>
      <protection/>
    </xf>
    <xf numFmtId="0" fontId="21" fillId="0" borderId="1" xfId="27" applyFont="1" applyFill="1" applyBorder="1" applyAlignment="1" applyProtection="1" quotePrefix="1">
      <alignment horizontal="right"/>
      <protection/>
    </xf>
    <xf numFmtId="0" fontId="21" fillId="0" borderId="1" xfId="27" applyFont="1" applyBorder="1" applyAlignment="1" applyProtection="1" quotePrefix="1">
      <alignment horizontal="right"/>
      <protection/>
    </xf>
    <xf numFmtId="0" fontId="25" fillId="0" borderId="1" xfId="27" applyFont="1" applyFill="1" applyBorder="1" applyAlignment="1" applyProtection="1" quotePrefix="1">
      <alignment horizontal="right"/>
      <protection/>
    </xf>
    <xf numFmtId="2" fontId="10" fillId="0" borderId="1" xfId="27" applyNumberFormat="1" applyFont="1" applyBorder="1" applyProtection="1">
      <alignment/>
      <protection/>
    </xf>
    <xf numFmtId="0" fontId="21" fillId="0" borderId="1" xfId="27" applyFont="1" applyBorder="1" applyAlignment="1" applyProtection="1">
      <alignment horizontal="center"/>
      <protection/>
    </xf>
    <xf numFmtId="0" fontId="25" fillId="0" borderId="0" xfId="27" applyFont="1" applyProtection="1">
      <alignment/>
      <protection/>
    </xf>
    <xf numFmtId="0" fontId="10" fillId="0" borderId="2" xfId="27" applyFont="1" applyBorder="1" applyProtection="1">
      <alignment/>
      <protection/>
    </xf>
    <xf numFmtId="14" fontId="32" fillId="0" borderId="0" xfId="27" applyNumberFormat="1" applyFont="1" applyBorder="1" applyAlignment="1" applyProtection="1" quotePrefix="1">
      <alignment horizontal="left"/>
      <protection/>
    </xf>
    <xf numFmtId="166" fontId="8" fillId="0" borderId="0" xfId="29" applyNumberFormat="1" applyFont="1" applyBorder="1" applyAlignment="1" applyProtection="1" quotePrefix="1">
      <alignment horizontal="left"/>
      <protection/>
    </xf>
    <xf numFmtId="38" fontId="31" fillId="0" borderId="0" xfId="18" applyNumberFormat="1" applyFont="1" applyBorder="1" applyAlignment="1" applyProtection="1">
      <alignment horizontal="left"/>
      <protection/>
    </xf>
    <xf numFmtId="169" fontId="31" fillId="0" borderId="2" xfId="18" applyNumberFormat="1" applyFont="1" applyBorder="1" applyAlignment="1" applyProtection="1">
      <alignment horizontal="left"/>
      <protection/>
    </xf>
    <xf numFmtId="0" fontId="10" fillId="0" borderId="8" xfId="27" applyFont="1" applyBorder="1" applyProtection="1">
      <alignment/>
      <protection/>
    </xf>
    <xf numFmtId="0" fontId="10" fillId="0" borderId="6" xfId="27" applyFont="1" applyBorder="1" applyProtection="1">
      <alignment/>
      <protection/>
    </xf>
    <xf numFmtId="0" fontId="10" fillId="0" borderId="7" xfId="27" applyFont="1" applyBorder="1" applyProtection="1">
      <alignment/>
      <protection/>
    </xf>
    <xf numFmtId="0" fontId="21" fillId="0" borderId="9" xfId="27" applyFont="1" applyBorder="1" applyProtection="1">
      <alignment/>
      <protection/>
    </xf>
    <xf numFmtId="2" fontId="8" fillId="0" borderId="0" xfId="27" applyNumberFormat="1" applyFont="1" applyBorder="1" applyAlignment="1" applyProtection="1">
      <alignment horizontal="left"/>
      <protection/>
    </xf>
    <xf numFmtId="184" fontId="8" fillId="0" borderId="2" xfId="15" applyNumberFormat="1" applyFont="1" applyBorder="1" applyAlignment="1" applyProtection="1">
      <alignment/>
      <protection/>
    </xf>
    <xf numFmtId="44" fontId="22" fillId="0" borderId="0" xfId="20" applyFont="1" applyBorder="1" applyAlignment="1" applyProtection="1">
      <alignment/>
      <protection/>
    </xf>
    <xf numFmtId="184" fontId="22" fillId="0" borderId="0" xfId="27" applyNumberFormat="1" applyFont="1" applyBorder="1" applyProtection="1">
      <alignment/>
      <protection/>
    </xf>
    <xf numFmtId="0" fontId="22" fillId="0" borderId="3" xfId="27" applyFont="1" applyBorder="1" applyProtection="1">
      <alignment/>
      <protection/>
    </xf>
    <xf numFmtId="7" fontId="8" fillId="0" borderId="0" xfId="15" applyNumberFormat="1" applyFont="1" applyBorder="1" applyAlignment="1" applyProtection="1" quotePrefix="1">
      <alignment horizontal="left"/>
      <protection/>
    </xf>
    <xf numFmtId="0" fontId="25" fillId="0" borderId="1" xfId="27" applyFont="1" applyBorder="1" applyAlignment="1" applyProtection="1">
      <alignment horizontal="right"/>
      <protection/>
    </xf>
    <xf numFmtId="213" fontId="8" fillId="0" borderId="0" xfId="15" applyNumberFormat="1" applyFont="1" applyBorder="1" applyAlignment="1" applyProtection="1" quotePrefix="1">
      <alignment horizontal="left"/>
      <protection/>
    </xf>
    <xf numFmtId="213" fontId="27" fillId="0" borderId="0" xfId="15" applyNumberFormat="1" applyFont="1" applyAlignment="1" applyProtection="1">
      <alignment horizontal="left"/>
      <protection/>
    </xf>
    <xf numFmtId="0" fontId="9" fillId="0" borderId="0" xfId="27" applyFont="1" applyAlignment="1" applyProtection="1" quotePrefix="1">
      <alignment horizontal="right"/>
      <protection/>
    </xf>
    <xf numFmtId="0" fontId="21" fillId="0" borderId="3" xfId="27" applyFont="1" applyBorder="1" applyProtection="1">
      <alignment/>
      <protection/>
    </xf>
    <xf numFmtId="0" fontId="11" fillId="0" borderId="0" xfId="25" applyFont="1" applyBorder="1" applyAlignment="1" applyProtection="1">
      <alignment horizontal="left"/>
      <protection locked="0"/>
    </xf>
    <xf numFmtId="165" fontId="17" fillId="0" borderId="0" xfId="17" applyNumberFormat="1" applyFont="1" applyBorder="1" applyAlignment="1" quotePrefix="1">
      <alignment horizontal="left"/>
    </xf>
    <xf numFmtId="165" fontId="11" fillId="0" borderId="0" xfId="17" applyNumberFormat="1" applyFont="1" applyBorder="1" applyAlignment="1" quotePrefix="1">
      <alignment horizontal="center"/>
    </xf>
    <xf numFmtId="0" fontId="11" fillId="0" borderId="0" xfId="25" applyFont="1" applyBorder="1" applyAlignment="1" applyProtection="1">
      <alignment horizontal="center"/>
      <protection/>
    </xf>
    <xf numFmtId="0" fontId="11" fillId="0" borderId="0" xfId="25" applyFont="1" applyBorder="1" applyAlignment="1">
      <alignment horizontal="center"/>
      <protection/>
    </xf>
    <xf numFmtId="0" fontId="30" fillId="0" borderId="0" xfId="25" applyFont="1" applyBorder="1" applyAlignment="1">
      <alignment horizontal="left" wrapText="1"/>
      <protection/>
    </xf>
    <xf numFmtId="0" fontId="33" fillId="0" borderId="0" xfId="25" applyFont="1" applyBorder="1" applyAlignment="1" quotePrefix="1">
      <alignment horizontal="left" wrapText="1"/>
      <protection/>
    </xf>
    <xf numFmtId="0" fontId="34" fillId="0" borderId="0" xfId="25" applyFont="1" applyBorder="1" applyAlignment="1" quotePrefix="1">
      <alignment horizontal="left" wrapText="1"/>
      <protection/>
    </xf>
    <xf numFmtId="0" fontId="35" fillId="0" borderId="0" xfId="25" applyFont="1" applyBorder="1" applyAlignment="1">
      <alignment horizontal="left" wrapText="1"/>
      <protection/>
    </xf>
    <xf numFmtId="0" fontId="36" fillId="0" borderId="0" xfId="25" applyFont="1" applyBorder="1" applyAlignment="1">
      <alignment horizontal="left" wrapText="1"/>
      <protection/>
    </xf>
    <xf numFmtId="0" fontId="37" fillId="0" borderId="0" xfId="25" applyFont="1" applyBorder="1" applyAlignment="1">
      <alignment horizontal="left" wrapText="1"/>
      <protection/>
    </xf>
    <xf numFmtId="0" fontId="17" fillId="0" borderId="0" xfId="25" applyFont="1" applyBorder="1" applyAlignment="1">
      <alignment horizontal="center" wrapText="1"/>
      <protection/>
    </xf>
    <xf numFmtId="0" fontId="17" fillId="0" borderId="0" xfId="25" applyFont="1" applyBorder="1" applyAlignment="1" applyProtection="1">
      <alignment horizontal="center"/>
      <protection hidden="1"/>
    </xf>
    <xf numFmtId="0" fontId="38" fillId="0" borderId="0" xfId="25" applyFont="1" applyBorder="1" applyAlignment="1" applyProtection="1">
      <alignment horizontal="right"/>
      <protection/>
    </xf>
    <xf numFmtId="165" fontId="38" fillId="3" borderId="0" xfId="17" applyNumberFormat="1" applyFont="1" applyFill="1" applyBorder="1" applyAlignment="1" applyProtection="1">
      <alignment horizontal="right"/>
      <protection/>
    </xf>
    <xf numFmtId="165" fontId="38" fillId="0" borderId="0" xfId="17" applyNumberFormat="1" applyFont="1" applyBorder="1" applyAlignment="1" applyProtection="1">
      <alignment horizontal="right"/>
      <protection/>
    </xf>
    <xf numFmtId="2" fontId="38" fillId="3" borderId="0" xfId="17" applyNumberFormat="1" applyFont="1" applyFill="1" applyBorder="1" applyAlignment="1" applyProtection="1">
      <alignment horizontal="right"/>
      <protection/>
    </xf>
    <xf numFmtId="0" fontId="38" fillId="0" borderId="0" xfId="25" applyFont="1" applyBorder="1">
      <alignment/>
      <protection/>
    </xf>
    <xf numFmtId="0" fontId="39" fillId="0" borderId="0" xfId="25" applyFont="1" applyBorder="1" applyAlignment="1">
      <alignment horizontal="right" wrapText="1"/>
      <protection/>
    </xf>
    <xf numFmtId="0" fontId="38" fillId="0" borderId="0" xfId="25" applyFont="1" applyBorder="1" applyProtection="1">
      <alignment/>
      <protection/>
    </xf>
    <xf numFmtId="14" fontId="5" fillId="0" borderId="1" xfId="27" applyNumberFormat="1" applyFont="1" applyBorder="1" applyAlignment="1" applyProtection="1">
      <alignment horizontal="left"/>
      <protection/>
    </xf>
    <xf numFmtId="17" fontId="9" fillId="4" borderId="0" xfId="27" applyNumberFormat="1" applyFont="1" applyFill="1" applyBorder="1" applyAlignment="1" applyProtection="1">
      <alignment horizontal="right"/>
      <protection/>
    </xf>
    <xf numFmtId="17" fontId="9" fillId="0" borderId="0" xfId="27" applyNumberFormat="1" applyFont="1" applyFill="1" applyBorder="1" applyAlignment="1" applyProtection="1">
      <alignment horizontal="right"/>
      <protection/>
    </xf>
    <xf numFmtId="15" fontId="9" fillId="0" borderId="0" xfId="27" applyNumberFormat="1" applyFont="1" applyBorder="1" applyAlignment="1" applyProtection="1">
      <alignment horizontal="right"/>
      <protection/>
    </xf>
    <xf numFmtId="15" fontId="9" fillId="4" borderId="0" xfId="27" applyNumberFormat="1" applyFont="1" applyFill="1" applyBorder="1" applyAlignment="1" applyProtection="1">
      <alignment horizontal="right"/>
      <protection/>
    </xf>
    <xf numFmtId="15" fontId="9" fillId="0" borderId="0" xfId="27" applyNumberFormat="1" applyFont="1" applyFill="1" applyBorder="1" applyAlignment="1" applyProtection="1">
      <alignment horizontal="right"/>
      <protection/>
    </xf>
    <xf numFmtId="15" fontId="22" fillId="0" borderId="0" xfId="27" applyNumberFormat="1" applyFont="1" applyBorder="1" applyProtection="1">
      <alignment/>
      <protection/>
    </xf>
    <xf numFmtId="17" fontId="9" fillId="4" borderId="6" xfId="27" applyNumberFormat="1" applyFont="1" applyFill="1" applyBorder="1" applyAlignment="1" applyProtection="1">
      <alignment horizontal="right"/>
      <protection/>
    </xf>
    <xf numFmtId="0" fontId="22" fillId="0" borderId="6" xfId="27" applyFont="1" applyBorder="1" applyAlignment="1" applyProtection="1" quotePrefix="1">
      <alignment horizontal="left"/>
      <protection/>
    </xf>
    <xf numFmtId="171" fontId="27" fillId="4" borderId="0" xfId="27" applyNumberFormat="1" applyFont="1" applyFill="1" applyBorder="1" applyAlignment="1" applyProtection="1" quotePrefix="1">
      <alignment horizontal="right"/>
      <protection/>
    </xf>
    <xf numFmtId="165" fontId="27" fillId="4" borderId="0" xfId="27" applyNumberFormat="1" applyFont="1" applyFill="1" applyBorder="1" applyAlignment="1" applyProtection="1">
      <alignment horizontal="right"/>
      <protection/>
    </xf>
    <xf numFmtId="171" fontId="27" fillId="0" borderId="0" xfId="27" applyNumberFormat="1" applyFont="1" applyFill="1" applyBorder="1" applyAlignment="1" applyProtection="1" quotePrefix="1">
      <alignment horizontal="right"/>
      <protection/>
    </xf>
    <xf numFmtId="165" fontId="27" fillId="0" borderId="0" xfId="27" applyNumberFormat="1" applyFont="1" applyFill="1" applyBorder="1" applyAlignment="1" applyProtection="1">
      <alignment horizontal="right"/>
      <protection/>
    </xf>
    <xf numFmtId="201" fontId="8" fillId="0" borderId="0" xfId="20" applyNumberFormat="1" applyFont="1" applyFill="1" applyBorder="1" applyAlignment="1" applyProtection="1">
      <alignment/>
      <protection/>
    </xf>
    <xf numFmtId="17" fontId="9" fillId="0" borderId="6" xfId="27" applyNumberFormat="1" applyFont="1" applyFill="1" applyBorder="1" applyAlignment="1" applyProtection="1">
      <alignment horizontal="right"/>
      <protection/>
    </xf>
    <xf numFmtId="0" fontId="22" fillId="0" borderId="6" xfId="27" applyFont="1" applyFill="1" applyBorder="1" applyProtection="1">
      <alignment/>
      <protection/>
    </xf>
    <xf numFmtId="17" fontId="9" fillId="0" borderId="2" xfId="27" applyNumberFormat="1" applyFont="1" applyFill="1" applyBorder="1" applyAlignment="1" applyProtection="1">
      <alignment horizontal="right"/>
      <protection/>
    </xf>
    <xf numFmtId="201" fontId="8" fillId="0" borderId="2" xfId="20" applyNumberFormat="1" applyFont="1" applyFill="1" applyBorder="1" applyAlignment="1" applyProtection="1">
      <alignment/>
      <protection/>
    </xf>
    <xf numFmtId="17" fontId="9" fillId="0" borderId="7" xfId="27" applyNumberFormat="1" applyFont="1" applyFill="1" applyBorder="1" applyAlignment="1" applyProtection="1">
      <alignment horizontal="right"/>
      <protection/>
    </xf>
    <xf numFmtId="0" fontId="22" fillId="0" borderId="7" xfId="27" applyFont="1" applyFill="1" applyBorder="1" applyProtection="1">
      <alignment/>
      <protection/>
    </xf>
    <xf numFmtId="0" fontId="22" fillId="0" borderId="2" xfId="27" applyFont="1" applyFill="1" applyBorder="1" applyProtection="1">
      <alignment/>
      <protection/>
    </xf>
    <xf numFmtId="171" fontId="27" fillId="0" borderId="2" xfId="27" applyNumberFormat="1" applyFont="1" applyFill="1" applyBorder="1" applyAlignment="1" applyProtection="1" quotePrefix="1">
      <alignment horizontal="right"/>
      <protection/>
    </xf>
    <xf numFmtId="165" fontId="27" fillId="0" borderId="2" xfId="27" applyNumberFormat="1" applyFont="1" applyFill="1" applyBorder="1" applyAlignment="1" applyProtection="1">
      <alignment horizontal="right"/>
      <protection/>
    </xf>
    <xf numFmtId="165" fontId="27" fillId="0" borderId="10" xfId="27" applyNumberFormat="1" applyFont="1" applyFill="1" applyBorder="1" applyAlignment="1" applyProtection="1">
      <alignment horizontal="right"/>
      <protection/>
    </xf>
    <xf numFmtId="0" fontId="40" fillId="0" borderId="0" xfId="0" applyFont="1" applyAlignment="1">
      <alignment vertical="top" wrapText="1"/>
    </xf>
    <xf numFmtId="0" fontId="6" fillId="0" borderId="0" xfId="0" applyFont="1" applyAlignment="1">
      <alignment wrapText="1"/>
    </xf>
    <xf numFmtId="0" fontId="41" fillId="0" borderId="0" xfId="0" applyFont="1" applyAlignment="1" quotePrefix="1">
      <alignment horizontal="left" vertical="top" wrapText="1"/>
    </xf>
    <xf numFmtId="14" fontId="6" fillId="0" borderId="0" xfId="0" applyNumberFormat="1" applyFont="1" applyAlignment="1">
      <alignment horizontal="left" vertical="top" wrapText="1"/>
    </xf>
    <xf numFmtId="0" fontId="6" fillId="0" borderId="0" xfId="0" applyFont="1" applyAlignment="1" quotePrefix="1">
      <alignment horizontal="left" vertical="top" wrapText="1"/>
    </xf>
    <xf numFmtId="0" fontId="6" fillId="0" borderId="0" xfId="0" applyFont="1" applyAlignment="1">
      <alignment vertical="top" wrapText="1"/>
    </xf>
    <xf numFmtId="166" fontId="27" fillId="0" borderId="2" xfId="29" applyNumberFormat="1" applyFont="1" applyBorder="1" applyAlignment="1" applyProtection="1">
      <alignment horizontal="right"/>
      <protection/>
    </xf>
    <xf numFmtId="207" fontId="8" fillId="0" borderId="10" xfId="27" applyNumberFormat="1" applyFont="1" applyBorder="1" applyAlignment="1" applyProtection="1">
      <alignment horizontal="left"/>
      <protection/>
    </xf>
    <xf numFmtId="214" fontId="21" fillId="0" borderId="1" xfId="27" applyNumberFormat="1" applyFont="1" applyBorder="1" applyAlignment="1" applyProtection="1">
      <alignment horizontal="right"/>
      <protection/>
    </xf>
    <xf numFmtId="187" fontId="27" fillId="0" borderId="0" xfId="15" applyNumberFormat="1" applyFont="1" applyAlignment="1" applyProtection="1">
      <alignment horizontal="left"/>
      <protection/>
    </xf>
    <xf numFmtId="169" fontId="31" fillId="0" borderId="11" xfId="20" applyNumberFormat="1" applyFont="1" applyBorder="1" applyAlignment="1" applyProtection="1">
      <alignment horizontal="left"/>
      <protection/>
    </xf>
    <xf numFmtId="169" fontId="31" fillId="0" borderId="5" xfId="20" applyNumberFormat="1" applyFont="1" applyBorder="1" applyAlignment="1" applyProtection="1">
      <alignment horizontal="left"/>
      <protection/>
    </xf>
    <xf numFmtId="169" fontId="8" fillId="0" borderId="5" xfId="20" applyNumberFormat="1" applyFont="1" applyBorder="1" applyAlignment="1" applyProtection="1">
      <alignment horizontal="left"/>
      <protection/>
    </xf>
    <xf numFmtId="0" fontId="21" fillId="0" borderId="2" xfId="27" applyFont="1" applyBorder="1" applyProtection="1">
      <alignment/>
      <protection/>
    </xf>
    <xf numFmtId="201" fontId="42" fillId="4" borderId="0" xfId="20" applyNumberFormat="1" applyFont="1" applyFill="1" applyBorder="1" applyAlignment="1" applyProtection="1">
      <alignment/>
      <protection/>
    </xf>
    <xf numFmtId="0" fontId="38" fillId="0" borderId="0" xfId="17" applyNumberFormat="1" applyFont="1" applyBorder="1" applyAlignment="1" applyProtection="1">
      <alignment horizontal="right"/>
      <protection/>
    </xf>
    <xf numFmtId="0" fontId="8" fillId="4" borderId="0" xfId="27" applyFont="1" applyFill="1" applyBorder="1" applyAlignment="1" applyProtection="1">
      <alignment horizontal="right" indent="1"/>
      <protection/>
    </xf>
    <xf numFmtId="0" fontId="8" fillId="0" borderId="0" xfId="27" applyFont="1" applyFill="1" applyAlignment="1" applyProtection="1">
      <alignment horizontal="right" indent="1"/>
      <protection/>
    </xf>
    <xf numFmtId="0" fontId="8" fillId="4" borderId="0" xfId="27" applyFont="1" applyFill="1" applyAlignment="1" applyProtection="1">
      <alignment horizontal="right" indent="1"/>
      <protection/>
    </xf>
    <xf numFmtId="0" fontId="8" fillId="0" borderId="0" xfId="27" applyFont="1" applyFill="1" applyBorder="1" applyAlignment="1" applyProtection="1">
      <alignment horizontal="right" indent="1"/>
      <protection/>
    </xf>
    <xf numFmtId="0" fontId="9" fillId="0" borderId="0" xfId="27" applyFont="1" applyAlignment="1" applyProtection="1">
      <alignment horizontal="right"/>
      <protection/>
    </xf>
    <xf numFmtId="0" fontId="9" fillId="0" borderId="2" xfId="27" applyFont="1" applyBorder="1" applyAlignment="1" applyProtection="1">
      <alignment horizontal="right"/>
      <protection/>
    </xf>
    <xf numFmtId="165" fontId="27" fillId="0" borderId="0" xfId="27" applyNumberFormat="1" applyFont="1" applyAlignment="1" applyProtection="1">
      <alignment horizontal="left"/>
      <protection/>
    </xf>
    <xf numFmtId="166" fontId="27" fillId="0" borderId="2" xfId="29" applyNumberFormat="1" applyFont="1" applyBorder="1" applyAlignment="1" applyProtection="1">
      <alignment horizontal="left"/>
      <protection/>
    </xf>
    <xf numFmtId="0" fontId="0" fillId="0" borderId="0" xfId="0" applyAlignment="1">
      <alignment/>
    </xf>
    <xf numFmtId="0" fontId="22" fillId="0" borderId="1" xfId="27" applyFont="1" applyBorder="1" applyProtection="1">
      <alignment/>
      <protection/>
    </xf>
    <xf numFmtId="0" fontId="5" fillId="0" borderId="1" xfId="27" applyFont="1" applyBorder="1" applyAlignment="1" applyProtection="1">
      <alignment horizontal="right"/>
      <protection/>
    </xf>
    <xf numFmtId="0" fontId="8" fillId="0" borderId="1" xfId="27" applyFont="1" applyBorder="1" applyAlignment="1" applyProtection="1" quotePrefix="1">
      <alignment horizontal="left"/>
      <protection/>
    </xf>
    <xf numFmtId="0" fontId="27" fillId="0" borderId="0" xfId="27" applyFont="1" applyBorder="1" applyAlignment="1" applyProtection="1" quotePrefix="1">
      <alignment horizontal="left"/>
      <protection/>
    </xf>
    <xf numFmtId="0" fontId="27" fillId="0" borderId="0" xfId="27" applyFont="1" applyBorder="1" applyAlignment="1" applyProtection="1">
      <alignment horizontal="left"/>
      <protection/>
    </xf>
    <xf numFmtId="14" fontId="5" fillId="0" borderId="2" xfId="27" applyNumberFormat="1" applyFont="1" applyBorder="1" applyAlignment="1" applyProtection="1">
      <alignment horizontal="right"/>
      <protection/>
    </xf>
    <xf numFmtId="14" fontId="31" fillId="0" borderId="4" xfId="27" applyNumberFormat="1" applyFont="1" applyBorder="1" applyAlignment="1" applyProtection="1">
      <alignment horizontal="left"/>
      <protection/>
    </xf>
    <xf numFmtId="14" fontId="31" fillId="0" borderId="11" xfId="27" applyNumberFormat="1" applyFont="1" applyBorder="1" applyAlignment="1" applyProtection="1">
      <alignment horizontal="left"/>
      <protection/>
    </xf>
    <xf numFmtId="210" fontId="8" fillId="0" borderId="2" xfId="27" applyNumberFormat="1" applyFont="1" applyBorder="1" applyAlignment="1" applyProtection="1">
      <alignment horizontal="left"/>
      <protection/>
    </xf>
    <xf numFmtId="0" fontId="8" fillId="0" borderId="6" xfId="27" applyFont="1" applyBorder="1" applyAlignment="1" applyProtection="1" quotePrefix="1">
      <alignment horizontal="left"/>
      <protection/>
    </xf>
    <xf numFmtId="0" fontId="8" fillId="0" borderId="0" xfId="27" applyFont="1" applyBorder="1" applyAlignment="1" applyProtection="1">
      <alignment horizontal="left"/>
      <protection/>
    </xf>
    <xf numFmtId="0" fontId="8" fillId="0" borderId="6" xfId="27" applyFont="1" applyFill="1" applyBorder="1" applyAlignment="1" applyProtection="1" quotePrefix="1">
      <alignment horizontal="left"/>
      <protection/>
    </xf>
    <xf numFmtId="0" fontId="8" fillId="0" borderId="0" xfId="27" applyFont="1" applyFill="1" applyBorder="1" applyAlignment="1" applyProtection="1" quotePrefix="1">
      <alignment horizontal="left"/>
      <protection/>
    </xf>
    <xf numFmtId="14" fontId="31" fillId="0" borderId="0" xfId="27" applyNumberFormat="1" applyFont="1" applyBorder="1" applyAlignment="1" applyProtection="1">
      <alignment horizontal="left"/>
      <protection/>
    </xf>
    <xf numFmtId="14" fontId="31" fillId="0" borderId="5" xfId="27" applyNumberFormat="1" applyFont="1" applyBorder="1" applyAlignment="1" applyProtection="1">
      <alignment horizontal="left"/>
      <protection/>
    </xf>
    <xf numFmtId="0" fontId="5" fillId="0" borderId="1" xfId="27" applyFont="1" applyBorder="1" applyAlignment="1" applyProtection="1">
      <alignment horizontal="left"/>
      <protection/>
    </xf>
    <xf numFmtId="14" fontId="31" fillId="0" borderId="2" xfId="27" applyNumberFormat="1" applyFont="1" applyBorder="1" applyAlignment="1" applyProtection="1">
      <alignment horizontal="left"/>
      <protection/>
    </xf>
    <xf numFmtId="0" fontId="10" fillId="0" borderId="0" xfId="27" applyFont="1" applyAlignment="1" applyProtection="1">
      <alignment/>
      <protection/>
    </xf>
    <xf numFmtId="0" fontId="0" fillId="0" borderId="0" xfId="0" applyAlignment="1">
      <alignment/>
    </xf>
    <xf numFmtId="0" fontId="39" fillId="0" borderId="0" xfId="25" applyFont="1" applyBorder="1" applyAlignment="1">
      <alignment horizontal="center" wrapText="1"/>
      <protection/>
    </xf>
    <xf numFmtId="0" fontId="39" fillId="3" borderId="0" xfId="25" applyFont="1" applyFill="1" applyBorder="1" applyAlignment="1">
      <alignment horizontal="center" wrapText="1"/>
      <protection/>
    </xf>
    <xf numFmtId="0" fontId="39" fillId="0" borderId="0" xfId="25" applyFont="1" applyBorder="1" applyAlignment="1" quotePrefix="1">
      <alignment horizontal="center" wrapText="1"/>
      <protection/>
    </xf>
    <xf numFmtId="165" fontId="11" fillId="0" borderId="0" xfId="17" applyNumberFormat="1" applyFont="1" applyBorder="1" applyAlignment="1" quotePrefix="1">
      <alignment horizontal="left" vertical="top" wrapText="1"/>
    </xf>
    <xf numFmtId="0" fontId="38" fillId="0" borderId="1" xfId="25" applyFont="1" applyBorder="1" applyAlignment="1">
      <alignment horizontal="left"/>
      <protection/>
    </xf>
    <xf numFmtId="0" fontId="39" fillId="3" borderId="0" xfId="25" applyFont="1" applyFill="1" applyBorder="1" applyAlignment="1" quotePrefix="1">
      <alignment horizontal="center" wrapText="1"/>
      <protection/>
    </xf>
    <xf numFmtId="0" fontId="1" fillId="0" borderId="0" xfId="0" applyFont="1" applyAlignment="1">
      <alignment vertical="top" wrapText="1"/>
    </xf>
    <xf numFmtId="0" fontId="1" fillId="0" borderId="0" xfId="0" applyFont="1" applyAlignment="1">
      <alignment/>
    </xf>
    <xf numFmtId="0" fontId="0" fillId="0" borderId="0" xfId="0" applyAlignment="1">
      <alignment vertical="top"/>
    </xf>
    <xf numFmtId="211" fontId="0" fillId="0" borderId="0" xfId="0" applyNumberFormat="1"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40" fillId="0" borderId="0" xfId="0" applyFont="1" applyAlignment="1" quotePrefix="1">
      <alignment horizontal="left" vertical="top" wrapText="1"/>
    </xf>
    <xf numFmtId="0" fontId="40" fillId="0" borderId="0" xfId="0" applyFont="1" applyAlignment="1">
      <alignment horizontal="left" vertical="top" wrapText="1"/>
    </xf>
    <xf numFmtId="0" fontId="6" fillId="0" borderId="0" xfId="0" applyFont="1" applyAlignment="1">
      <alignment horizontal="left" vertical="top" wrapText="1"/>
    </xf>
    <xf numFmtId="2" fontId="0" fillId="0" borderId="0" xfId="0" applyNumberFormat="1" applyAlignment="1">
      <alignment vertical="top"/>
    </xf>
    <xf numFmtId="0" fontId="1" fillId="0" borderId="0" xfId="0" applyFont="1" applyAlignment="1">
      <alignment horizontal="right" vertical="top"/>
    </xf>
    <xf numFmtId="211" fontId="1" fillId="0" borderId="0" xfId="0" applyNumberFormat="1" applyFont="1" applyAlignment="1">
      <alignment horizontal="right" vertical="top"/>
    </xf>
    <xf numFmtId="0" fontId="46" fillId="0" borderId="0" xfId="26" applyFont="1" applyFill="1" applyBorder="1" applyAlignment="1">
      <alignment horizontal="left"/>
      <protection/>
    </xf>
    <xf numFmtId="0" fontId="47" fillId="0" borderId="0" xfId="26" applyFont="1" applyFill="1" applyBorder="1">
      <alignment/>
      <protection/>
    </xf>
    <xf numFmtId="0" fontId="46" fillId="0" borderId="0" xfId="26" applyFont="1" applyFill="1" applyBorder="1">
      <alignment/>
      <protection/>
    </xf>
    <xf numFmtId="0" fontId="47" fillId="0" borderId="0" xfId="26" applyFont="1" applyFill="1" applyBorder="1" applyAlignment="1">
      <alignment horizontal="right"/>
      <protection/>
    </xf>
    <xf numFmtId="2" fontId="46" fillId="0" borderId="0" xfId="26" applyNumberFormat="1" applyFont="1" applyFill="1" applyBorder="1">
      <alignment/>
      <protection/>
    </xf>
    <xf numFmtId="0" fontId="46" fillId="0" borderId="0" xfId="26" applyFont="1" applyFill="1" applyAlignment="1" applyProtection="1" quotePrefix="1">
      <alignment horizontal="left"/>
      <protection locked="0"/>
    </xf>
    <xf numFmtId="0" fontId="46" fillId="0" borderId="0" xfId="26" applyFont="1" applyFill="1" applyAlignment="1" applyProtection="1">
      <alignment horizontal="left"/>
      <protection locked="0"/>
    </xf>
    <xf numFmtId="0" fontId="46" fillId="0" borderId="0" xfId="0" applyFont="1" applyAlignment="1">
      <alignment horizontal="left" vertical="top" wrapText="1"/>
    </xf>
    <xf numFmtId="0" fontId="46" fillId="0" borderId="2" xfId="26" applyFont="1" applyFill="1" applyBorder="1" applyAlignment="1" quotePrefix="1">
      <alignment horizontal="left"/>
      <protection/>
    </xf>
    <xf numFmtId="0" fontId="46" fillId="0" borderId="4" xfId="26" applyFont="1" applyFill="1" applyBorder="1" applyAlignment="1">
      <alignment horizontal="left"/>
      <protection/>
    </xf>
    <xf numFmtId="2" fontId="46" fillId="0" borderId="4" xfId="26" applyNumberFormat="1" applyFont="1" applyFill="1" applyBorder="1" applyAlignment="1">
      <alignment horizontal="left"/>
      <protection/>
    </xf>
    <xf numFmtId="0" fontId="46" fillId="0" borderId="2" xfId="26" applyFont="1" applyFill="1" applyBorder="1" applyAlignment="1">
      <alignment horizontal="left"/>
      <protection/>
    </xf>
    <xf numFmtId="0" fontId="46" fillId="0" borderId="1" xfId="26" applyFont="1" applyFill="1" applyBorder="1" applyAlignment="1">
      <alignment horizontal="left"/>
      <protection/>
    </xf>
    <xf numFmtId="0" fontId="46" fillId="0" borderId="2" xfId="26" applyFont="1" applyFill="1" applyBorder="1" applyAlignment="1" applyProtection="1">
      <alignment horizontal="left"/>
      <protection locked="0"/>
    </xf>
    <xf numFmtId="0" fontId="46" fillId="0" borderId="1" xfId="26" applyFont="1" applyFill="1" applyBorder="1" applyAlignment="1" applyProtection="1">
      <alignment horizontal="left"/>
      <protection locked="0"/>
    </xf>
  </cellXfs>
  <cellStyles count="16">
    <cellStyle name="Normal" xfId="0"/>
    <cellStyle name="Comma" xfId="15"/>
    <cellStyle name="Comma [0]" xfId="16"/>
    <cellStyle name="Comma_Chart calculations" xfId="17"/>
    <cellStyle name="Comma_Stock Selection Guide" xfId="18"/>
    <cellStyle name="Comma_Text Version" xfId="19"/>
    <cellStyle name="Currency" xfId="20"/>
    <cellStyle name="Currency [0]" xfId="21"/>
    <cellStyle name="Currency_Text Version" xfId="22"/>
    <cellStyle name="Followed Hyperlink" xfId="23"/>
    <cellStyle name="Hyperlink" xfId="24"/>
    <cellStyle name="Normal_Chart calculations" xfId="25"/>
    <cellStyle name="Normal_Company Info" xfId="26"/>
    <cellStyle name="Normal_Stock Selection Guide" xfId="27"/>
    <cellStyle name="Normal_Text Version" xfId="28"/>
    <cellStyle name="Percent" xfId="29"/>
  </cellStyles>
  <dxfs count="2">
    <dxf>
      <font>
        <color rgb="FFFFFFFF"/>
      </font>
      <border/>
    </dxf>
    <dxf>
      <font>
        <color rgb="FFE3E3E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Monthly Price and P/E Ratio History</a:t>
            </a:r>
          </a:p>
        </c:rich>
      </c:tx>
      <c:layout>
        <c:manualLayout>
          <c:xMode val="factor"/>
          <c:yMode val="factor"/>
          <c:x val="-0.22125"/>
          <c:y val="-0.01925"/>
        </c:manualLayout>
      </c:layout>
      <c:spPr>
        <a:noFill/>
        <a:ln>
          <a:noFill/>
        </a:ln>
      </c:spPr>
    </c:title>
    <c:plotArea>
      <c:layout>
        <c:manualLayout>
          <c:xMode val="edge"/>
          <c:yMode val="edge"/>
          <c:x val="0.0325"/>
          <c:y val="0.04875"/>
          <c:w val="0.93375"/>
          <c:h val="0.929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('Company Report'!$B$129:$B$152,'Company Report'!$F$129:$F$152,'Company Report'!$J$129:$J$141)</c:f>
              <c:strCache>
                <c:ptCount val="61"/>
                <c:pt idx="0">
                  <c:v>Apr-98</c:v>
                </c:pt>
                <c:pt idx="1">
                  <c:v>May-98</c:v>
                </c:pt>
                <c:pt idx="2">
                  <c:v>Jun-98</c:v>
                </c:pt>
                <c:pt idx="3">
                  <c:v>Jul-98</c:v>
                </c:pt>
                <c:pt idx="4">
                  <c:v>Aug-98</c:v>
                </c:pt>
                <c:pt idx="5">
                  <c:v>Sep-98</c:v>
                </c:pt>
                <c:pt idx="6">
                  <c:v>Oct-98</c:v>
                </c:pt>
                <c:pt idx="7">
                  <c:v>Nov-98</c:v>
                </c:pt>
                <c:pt idx="8">
                  <c:v>Dec-98</c:v>
                </c:pt>
                <c:pt idx="9">
                  <c:v>Jan-99</c:v>
                </c:pt>
                <c:pt idx="10">
                  <c:v>Feb-99</c:v>
                </c:pt>
                <c:pt idx="11">
                  <c:v>Mar-99</c:v>
                </c:pt>
                <c:pt idx="12">
                  <c:v>Apr-99</c:v>
                </c:pt>
                <c:pt idx="13">
                  <c:v>May-99</c:v>
                </c:pt>
                <c:pt idx="14">
                  <c:v>Jun-99</c:v>
                </c:pt>
                <c:pt idx="15">
                  <c:v>Jul-99</c:v>
                </c:pt>
                <c:pt idx="16">
                  <c:v>Aug-99</c:v>
                </c:pt>
                <c:pt idx="17">
                  <c:v>Sep-99</c:v>
                </c:pt>
                <c:pt idx="18">
                  <c:v>Oct-99</c:v>
                </c:pt>
                <c:pt idx="19">
                  <c:v>Nov-99</c:v>
                </c:pt>
                <c:pt idx="20">
                  <c:v>Dec-99</c:v>
                </c:pt>
                <c:pt idx="21">
                  <c:v>Jan-00</c:v>
                </c:pt>
                <c:pt idx="22">
                  <c:v>Feb-00</c:v>
                </c:pt>
                <c:pt idx="23">
                  <c:v>Mar-00</c:v>
                </c:pt>
                <c:pt idx="24">
                  <c:v>Apr-00</c:v>
                </c:pt>
                <c:pt idx="25">
                  <c:v>May-00</c:v>
                </c:pt>
                <c:pt idx="26">
                  <c:v>Jun-00</c:v>
                </c:pt>
                <c:pt idx="27">
                  <c:v>Jul-00</c:v>
                </c:pt>
                <c:pt idx="28">
                  <c:v>Aug-00</c:v>
                </c:pt>
                <c:pt idx="29">
                  <c:v>Sep-00</c:v>
                </c:pt>
                <c:pt idx="30">
                  <c:v>Oct-00</c:v>
                </c:pt>
                <c:pt idx="31">
                  <c:v>Nov-00</c:v>
                </c:pt>
                <c:pt idx="32">
                  <c:v>Dec-00</c:v>
                </c:pt>
                <c:pt idx="33">
                  <c:v>Jan-01</c:v>
                </c:pt>
                <c:pt idx="34">
                  <c:v>Feb-01</c:v>
                </c:pt>
                <c:pt idx="35">
                  <c:v>Mar-01</c:v>
                </c:pt>
                <c:pt idx="36">
                  <c:v>Apr-01</c:v>
                </c:pt>
                <c:pt idx="37">
                  <c:v>May-01</c:v>
                </c:pt>
                <c:pt idx="38">
                  <c:v>Jun-01</c:v>
                </c:pt>
                <c:pt idx="39">
                  <c:v>Jul-01</c:v>
                </c:pt>
                <c:pt idx="40">
                  <c:v>Aug-01</c:v>
                </c:pt>
                <c:pt idx="41">
                  <c:v>Sep-01</c:v>
                </c:pt>
                <c:pt idx="42">
                  <c:v>Oct-01</c:v>
                </c:pt>
                <c:pt idx="43">
                  <c:v>Nov-01</c:v>
                </c:pt>
                <c:pt idx="44">
                  <c:v>Dec-01</c:v>
                </c:pt>
                <c:pt idx="45">
                  <c:v>Jan-02</c:v>
                </c:pt>
                <c:pt idx="46">
                  <c:v>Feb-02</c:v>
                </c:pt>
                <c:pt idx="47">
                  <c:v>Mar-02</c:v>
                </c:pt>
                <c:pt idx="48">
                  <c:v>Apr-02</c:v>
                </c:pt>
                <c:pt idx="49">
                  <c:v>May-02</c:v>
                </c:pt>
                <c:pt idx="50">
                  <c:v>Jun-02</c:v>
                </c:pt>
                <c:pt idx="51">
                  <c:v>Jul-02</c:v>
                </c:pt>
                <c:pt idx="52">
                  <c:v>Aug-02</c:v>
                </c:pt>
                <c:pt idx="53">
                  <c:v>Sep-02</c:v>
                </c:pt>
                <c:pt idx="54">
                  <c:v>Oct-02</c:v>
                </c:pt>
                <c:pt idx="55">
                  <c:v>Nov-02</c:v>
                </c:pt>
                <c:pt idx="56">
                  <c:v>Dec-02</c:v>
                </c:pt>
                <c:pt idx="57">
                  <c:v>Jan-03</c:v>
                </c:pt>
                <c:pt idx="58">
                  <c:v>Feb-03</c:v>
                </c:pt>
                <c:pt idx="59">
                  <c:v>Mar-03</c:v>
                </c:pt>
                <c:pt idx="60">
                  <c:v>Apr-03</c:v>
                </c:pt>
              </c:strCache>
            </c:strRef>
          </c:cat>
          <c:val>
            <c:numRef>
              <c:f>('Company Report'!$C$129:$C$152,'Company Report'!$G$129:$G$152,'Company Report'!$K$129:$K$141)</c:f>
              <c:numCache>
                <c:ptCount val="61"/>
                <c:pt idx="0">
                  <c:v>#N/A</c:v>
                </c:pt>
                <c:pt idx="1">
                  <c:v>17.906</c:v>
                </c:pt>
                <c:pt idx="2">
                  <c:v>19.375</c:v>
                </c:pt>
                <c:pt idx="3">
                  <c:v>19.812</c:v>
                </c:pt>
                <c:pt idx="4">
                  <c:v>15.375</c:v>
                </c:pt>
                <c:pt idx="5">
                  <c:v>14.812</c:v>
                </c:pt>
                <c:pt idx="6">
                  <c:v>19.375</c:v>
                </c:pt>
                <c:pt idx="7">
                  <c:v>20.969</c:v>
                </c:pt>
                <c:pt idx="8">
                  <c:v>23.688</c:v>
                </c:pt>
                <c:pt idx="9">
                  <c:v>26</c:v>
                </c:pt>
                <c:pt idx="10">
                  <c:v>28.938</c:v>
                </c:pt>
                <c:pt idx="11">
                  <c:v>28.688</c:v>
                </c:pt>
                <c:pt idx="12">
                  <c:v>29.938</c:v>
                </c:pt>
                <c:pt idx="13">
                  <c:v>25.531</c:v>
                </c:pt>
                <c:pt idx="14">
                  <c:v>27.188</c:v>
                </c:pt>
                <c:pt idx="15">
                  <c:v>27.688</c:v>
                </c:pt>
                <c:pt idx="16">
                  <c:v>27.25</c:v>
                </c:pt>
                <c:pt idx="17">
                  <c:v>25.031</c:v>
                </c:pt>
                <c:pt idx="18">
                  <c:v>29.656</c:v>
                </c:pt>
                <c:pt idx="19">
                  <c:v>30.5</c:v>
                </c:pt>
                <c:pt idx="20">
                  <c:v>32.031</c:v>
                </c:pt>
                <c:pt idx="21">
                  <c:v>35.094</c:v>
                </c:pt>
                <c:pt idx="22">
                  <c:v>34.062</c:v>
                </c:pt>
                <c:pt idx="23">
                  <c:v>39.688</c:v>
                </c:pt>
                <c:pt idx="24">
                  <c:v>39.812</c:v>
                </c:pt>
                <c:pt idx="25">
                  <c:v>37.25</c:v>
                </c:pt>
                <c:pt idx="26">
                  <c:v>38.5</c:v>
                </c:pt>
                <c:pt idx="27">
                  <c:v>44.875</c:v>
                </c:pt>
                <c:pt idx="28">
                  <c:v>49.812</c:v>
                </c:pt>
                <c:pt idx="29">
                  <c:v>47.875</c:v>
                </c:pt>
                <c:pt idx="30">
                  <c:v>48.188</c:v>
                </c:pt>
                <c:pt idx="31">
                  <c:v>45.438</c:v>
                </c:pt>
                <c:pt idx="32">
                  <c:v>39.75</c:v>
                </c:pt>
                <c:pt idx="33">
                  <c:v>45.39</c:v>
                </c:pt>
                <c:pt idx="34">
                  <c:v>43.35</c:v>
                </c:pt>
                <c:pt idx="35">
                  <c:v>37.95</c:v>
                </c:pt>
                <c:pt idx="36">
                  <c:v>46.09</c:v>
                </c:pt>
                <c:pt idx="37">
                  <c:v>46.97</c:v>
                </c:pt>
                <c:pt idx="38">
                  <c:v>47.08</c:v>
                </c:pt>
                <c:pt idx="39">
                  <c:v>51.61</c:v>
                </c:pt>
                <c:pt idx="40">
                  <c:v>48.59</c:v>
                </c:pt>
                <c:pt idx="41">
                  <c:v>40.5</c:v>
                </c:pt>
                <c:pt idx="42">
                  <c:v>45.26</c:v>
                </c:pt>
                <c:pt idx="43">
                  <c:v>52.58</c:v>
                </c:pt>
                <c:pt idx="44">
                  <c:v>54.31</c:v>
                </c:pt>
                <c:pt idx="45">
                  <c:v>57</c:v>
                </c:pt>
                <c:pt idx="46">
                  <c:v>51.26</c:v>
                </c:pt>
                <c:pt idx="47">
                  <c:v>55.13</c:v>
                </c:pt>
                <c:pt idx="48">
                  <c:v>52.99</c:v>
                </c:pt>
                <c:pt idx="49">
                  <c:v>52.58</c:v>
                </c:pt>
                <c:pt idx="50">
                  <c:v>51.27</c:v>
                </c:pt>
                <c:pt idx="51">
                  <c:v>47.36</c:v>
                </c:pt>
                <c:pt idx="52">
                  <c:v>49.23</c:v>
                </c:pt>
                <c:pt idx="53">
                  <c:v>46.45</c:v>
                </c:pt>
                <c:pt idx="54">
                  <c:v>52.3</c:v>
                </c:pt>
                <c:pt idx="55">
                  <c:v>48.54</c:v>
                </c:pt>
                <c:pt idx="56">
                  <c:v>46.2</c:v>
                </c:pt>
                <c:pt idx="57">
                  <c:v>41.78</c:v>
                </c:pt>
                <c:pt idx="58">
                  <c:v>39.59</c:v>
                </c:pt>
                <c:pt idx="59">
                  <c:v>39.71</c:v>
                </c:pt>
                <c:pt idx="60">
                  <c:v>41.73</c:v>
                </c:pt>
              </c:numCache>
            </c:numRef>
          </c:val>
          <c:smooth val="0"/>
        </c:ser>
        <c:axId val="17860157"/>
        <c:axId val="26523686"/>
      </c:lineChart>
      <c:lineChart>
        <c:grouping val="standard"/>
        <c:varyColors val="0"/>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('Company Report'!$E$129:$E$152,'Company Report'!$I$129:$I$152,'Company Report'!$M$129:$M$141)</c:f>
              <c:numCache>
                <c:ptCount val="61"/>
                <c:pt idx="0">
                  <c:v>#N/A</c:v>
                </c:pt>
                <c:pt idx="1">
                  <c:v>#N/A</c:v>
                </c:pt>
                <c:pt idx="2">
                  <c:v>#N/A</c:v>
                </c:pt>
                <c:pt idx="3">
                  <c:v>#N/A</c:v>
                </c:pt>
                <c:pt idx="4">
                  <c:v>#N/A</c:v>
                </c:pt>
                <c:pt idx="5">
                  <c:v>#N/A</c:v>
                </c:pt>
                <c:pt idx="6">
                  <c:v>#N/A</c:v>
                </c:pt>
                <c:pt idx="7">
                  <c:v>#N/A</c:v>
                </c:pt>
                <c:pt idx="8">
                  <c:v>34.3304347826087</c:v>
                </c:pt>
                <c:pt idx="9">
                  <c:v>37.68115942028986</c:v>
                </c:pt>
                <c:pt idx="10">
                  <c:v>41.93913043478261</c:v>
                </c:pt>
                <c:pt idx="11">
                  <c:v>39.03129251700681</c:v>
                </c:pt>
                <c:pt idx="12">
                  <c:v>40.73197278911565</c:v>
                </c:pt>
                <c:pt idx="13">
                  <c:v>34.73605442176871</c:v>
                </c:pt>
                <c:pt idx="14">
                  <c:v>35.08129032258065</c:v>
                </c:pt>
                <c:pt idx="15">
                  <c:v>35.726451612903226</c:v>
                </c:pt>
                <c:pt idx="16">
                  <c:v>35.16129032258065</c:v>
                </c:pt>
                <c:pt idx="17">
                  <c:v>30.71288343558282</c:v>
                </c:pt>
                <c:pt idx="18">
                  <c:v>36.38773006134969</c:v>
                </c:pt>
                <c:pt idx="19">
                  <c:v>37.423312883435585</c:v>
                </c:pt>
                <c:pt idx="20">
                  <c:v>37.2453488372093</c:v>
                </c:pt>
                <c:pt idx="21">
                  <c:v>40.80697674418605</c:v>
                </c:pt>
                <c:pt idx="22">
                  <c:v>39.60697674418604</c:v>
                </c:pt>
                <c:pt idx="23">
                  <c:v>43.139130434782615</c:v>
                </c:pt>
                <c:pt idx="24">
                  <c:v>43.27391304347826</c:v>
                </c:pt>
                <c:pt idx="25">
                  <c:v>40.48913043478261</c:v>
                </c:pt>
                <c:pt idx="26">
                  <c:v>38.888888888888886</c:v>
                </c:pt>
                <c:pt idx="27">
                  <c:v>45.32828282828283</c:v>
                </c:pt>
                <c:pt idx="28">
                  <c:v>50.31515151515151</c:v>
                </c:pt>
                <c:pt idx="29">
                  <c:v>45.595238095238095</c:v>
                </c:pt>
                <c:pt idx="30">
                  <c:v>45.89333333333333</c:v>
                </c:pt>
                <c:pt idx="31">
                  <c:v>43.27428571428572</c:v>
                </c:pt>
                <c:pt idx="32">
                  <c:v>35.49107142857142</c:v>
                </c:pt>
                <c:pt idx="33">
                  <c:v>40.52678571428571</c:v>
                </c:pt>
                <c:pt idx="34">
                  <c:v>38.70535714285714</c:v>
                </c:pt>
                <c:pt idx="35">
                  <c:v>32.43589743589743</c:v>
                </c:pt>
                <c:pt idx="36">
                  <c:v>39.39316239316239</c:v>
                </c:pt>
                <c:pt idx="37">
                  <c:v>40.14529914529914</c:v>
                </c:pt>
                <c:pt idx="38">
                  <c:v>37.36507936507936</c:v>
                </c:pt>
                <c:pt idx="39">
                  <c:v>40.960317460317455</c:v>
                </c:pt>
                <c:pt idx="40">
                  <c:v>38.563492063492056</c:v>
                </c:pt>
                <c:pt idx="41">
                  <c:v>29.999999999999996</c:v>
                </c:pt>
                <c:pt idx="42">
                  <c:v>33.525925925925925</c:v>
                </c:pt>
                <c:pt idx="43">
                  <c:v>38.94814814814814</c:v>
                </c:pt>
                <c:pt idx="44">
                  <c:v>37.97902097902097</c:v>
                </c:pt>
                <c:pt idx="45">
                  <c:v>39.86013986013985</c:v>
                </c:pt>
                <c:pt idx="46">
                  <c:v>35.84615384615384</c:v>
                </c:pt>
                <c:pt idx="47">
                  <c:v>36.26973684210527</c:v>
                </c:pt>
                <c:pt idx="48">
                  <c:v>34.86184210526316</c:v>
                </c:pt>
                <c:pt idx="49">
                  <c:v>34.59210526315789</c:v>
                </c:pt>
                <c:pt idx="50">
                  <c:v>31.84472049689441</c:v>
                </c:pt>
                <c:pt idx="51">
                  <c:v>29.41614906832298</c:v>
                </c:pt>
                <c:pt idx="52">
                  <c:v>30.57763975155279</c:v>
                </c:pt>
                <c:pt idx="53">
                  <c:v>25.949720670391063</c:v>
                </c:pt>
                <c:pt idx="54">
                  <c:v>29.217877094972064</c:v>
                </c:pt>
                <c:pt idx="55">
                  <c:v>27.11731843575419</c:v>
                </c:pt>
                <c:pt idx="56">
                  <c:v>24.444444444444446</c:v>
                </c:pt>
                <c:pt idx="57">
                  <c:v>22.105820105820108</c:v>
                </c:pt>
                <c:pt idx="58">
                  <c:v>20.94708994708995</c:v>
                </c:pt>
                <c:pt idx="59">
                  <c:v>21.010582010582013</c:v>
                </c:pt>
                <c:pt idx="60">
                  <c:v>22.07936507936508</c:v>
                </c:pt>
              </c:numCache>
            </c:numRef>
          </c:val>
          <c:smooth val="0"/>
        </c:ser>
        <c:axId val="37386583"/>
        <c:axId val="934928"/>
      </c:lineChart>
      <c:catAx>
        <c:axId val="1786015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50" b="0" i="0" u="none" baseline="0"/>
            </a:pPr>
          </a:p>
        </c:txPr>
        <c:crossAx val="26523686"/>
        <c:crosses val="autoZero"/>
        <c:auto val="1"/>
        <c:lblOffset val="100"/>
        <c:noMultiLvlLbl val="0"/>
      </c:catAx>
      <c:valAx>
        <c:axId val="26523686"/>
        <c:scaling>
          <c:orientation val="minMax"/>
        </c:scaling>
        <c:axPos val="l"/>
        <c:title>
          <c:tx>
            <c:rich>
              <a:bodyPr vert="horz" rot="-5400000" anchor="ctr"/>
              <a:lstStyle/>
              <a:p>
                <a:pPr algn="ctr">
                  <a:defRPr/>
                </a:pPr>
                <a:r>
                  <a:rPr lang="en-US" cap="none" sz="1200" b="1" i="0" u="none" baseline="0">
                    <a:solidFill>
                      <a:srgbClr val="000080"/>
                    </a:solidFill>
                  </a:rPr>
                  <a:t>Month-End Price</a:t>
                </a:r>
              </a:p>
            </c:rich>
          </c:tx>
          <c:layout>
            <c:manualLayout>
              <c:xMode val="factor"/>
              <c:yMode val="factor"/>
              <c:x val="-0.005"/>
              <c:y val="0.0015"/>
            </c:manualLayout>
          </c:layout>
          <c:overlay val="0"/>
          <c:spPr>
            <a:noFill/>
            <a:ln>
              <a:noFill/>
            </a:ln>
          </c:spPr>
        </c:title>
        <c:majorGridlines>
          <c:spPr>
            <a:ln w="3175">
              <a:solidFill/>
              <a:prstDash val="sysDot"/>
            </a:ln>
          </c:spPr>
        </c:majorGridlines>
        <c:delete val="0"/>
        <c:numFmt formatCode="&quot;$&quot;#,##0" sourceLinked="0"/>
        <c:majorTickMark val="out"/>
        <c:minorTickMark val="none"/>
        <c:tickLblPos val="nextTo"/>
        <c:txPr>
          <a:bodyPr/>
          <a:lstStyle/>
          <a:p>
            <a:pPr>
              <a:defRPr lang="en-US" cap="none" sz="1050" b="1" i="0" u="none" baseline="0">
                <a:solidFill>
                  <a:srgbClr val="000080"/>
                </a:solidFill>
              </a:defRPr>
            </a:pPr>
          </a:p>
        </c:txPr>
        <c:crossAx val="17860157"/>
        <c:crossesAt val="1"/>
        <c:crossBetween val="midCat"/>
        <c:dispUnits/>
      </c:valAx>
      <c:catAx>
        <c:axId val="37386583"/>
        <c:scaling>
          <c:orientation val="minMax"/>
        </c:scaling>
        <c:axPos val="b"/>
        <c:delete val="1"/>
        <c:majorTickMark val="in"/>
        <c:minorTickMark val="none"/>
        <c:tickLblPos val="nextTo"/>
        <c:crossAx val="934928"/>
        <c:crosses val="autoZero"/>
        <c:auto val="1"/>
        <c:lblOffset val="100"/>
        <c:noMultiLvlLbl val="0"/>
      </c:catAx>
      <c:valAx>
        <c:axId val="934928"/>
        <c:scaling>
          <c:orientation val="minMax"/>
        </c:scaling>
        <c:axPos val="l"/>
        <c:title>
          <c:tx>
            <c:rich>
              <a:bodyPr vert="horz" rot="-5400000" anchor="ctr"/>
              <a:lstStyle/>
              <a:p>
                <a:pPr algn="ctr">
                  <a:defRPr/>
                </a:pPr>
                <a:r>
                  <a:rPr lang="en-US" cap="none" sz="1200" b="1" i="0" u="none" baseline="0">
                    <a:solidFill>
                      <a:srgbClr val="800000"/>
                    </a:solidFill>
                  </a:rPr>
                  <a:t>Trailing P/E Ratio</a:t>
                </a:r>
              </a:p>
            </c:rich>
          </c:tx>
          <c:layout>
            <c:manualLayout>
              <c:xMode val="factor"/>
              <c:yMode val="factor"/>
              <c:x val="-0.004"/>
              <c:y val="0.0015"/>
            </c:manualLayout>
          </c:layout>
          <c:overlay val="0"/>
          <c:spPr>
            <a:noFill/>
            <a:ln>
              <a:noFill/>
            </a:ln>
          </c:spPr>
        </c:title>
        <c:delete val="0"/>
        <c:numFmt formatCode="0" sourceLinked="0"/>
        <c:majorTickMark val="cross"/>
        <c:minorTickMark val="none"/>
        <c:tickLblPos val="nextTo"/>
        <c:txPr>
          <a:bodyPr/>
          <a:lstStyle/>
          <a:p>
            <a:pPr>
              <a:defRPr lang="en-US" cap="none" sz="1050" b="1" i="0" u="none" baseline="0">
                <a:solidFill>
                  <a:srgbClr val="800000"/>
                </a:solidFill>
              </a:defRPr>
            </a:pPr>
          </a:p>
        </c:txPr>
        <c:crossAx val="37386583"/>
        <c:crosses val="max"/>
        <c:crossBetween val="midCat"/>
        <c:dispUnits/>
      </c:valAx>
      <c:spPr>
        <a:noFill/>
        <a:ln w="12700">
          <a:solidFill>
            <a:srgbClr val="808080"/>
          </a:solidFill>
        </a:ln>
      </c:spPr>
    </c:plotArea>
    <c:plotVisOnly val="1"/>
    <c:dispBlanksAs val="gap"/>
    <c:showDLblsOverMax val="0"/>
  </c:chart>
  <c:txPr>
    <a:bodyPr vert="horz" rot="0"/>
    <a:lstStyle/>
    <a:p>
      <a:pPr>
        <a:defRPr lang="en-US" cap="none" sz="14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'Company Info'!$A$236</c:f>
        </c:strRef>
      </c:tx>
      <c:layout>
        <c:manualLayout>
          <c:xMode val="factor"/>
          <c:yMode val="factor"/>
          <c:x val="-0.27325"/>
          <c:y val="-0.02"/>
        </c:manualLayout>
      </c:layout>
      <c:spPr>
        <a:noFill/>
        <a:ln>
          <a:noFill/>
        </a:ln>
      </c:spPr>
      <c:txPr>
        <a:bodyPr vert="horz" rot="0"/>
        <a:lstStyle/>
        <a:p>
          <a:pPr>
            <a:defRPr lang="en-US" cap="none" sz="1200" b="0" i="0" u="none" baseline="0"/>
          </a:pPr>
        </a:p>
      </c:txPr>
    </c:title>
    <c:plotArea>
      <c:layout>
        <c:manualLayout>
          <c:xMode val="edge"/>
          <c:yMode val="edge"/>
          <c:x val="0.00925"/>
          <c:y val="0.05525"/>
          <c:w val="0.848"/>
          <c:h val="0.94475"/>
        </c:manualLayout>
      </c:layout>
      <c:lineChart>
        <c:grouping val="standard"/>
        <c:varyColors val="0"/>
        <c:ser>
          <c:idx val="3"/>
          <c:order val="0"/>
          <c:tx>
            <c:strRef>
              <c:f>'Chart Data'!$AH$1</c:f>
              <c:strCache>
                <c:ptCount val="1"/>
                <c:pt idx="0">
                  <c:v>High Price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Data'!$AH$3:$AH$12</c:f>
              <c:numCache>
                <c:ptCount val="10"/>
                <c:pt idx="0">
                  <c:v>16.469</c:v>
                </c:pt>
                <c:pt idx="1">
                  <c:v>17.062</c:v>
                </c:pt>
                <c:pt idx="2">
                  <c:v>14.625</c:v>
                </c:pt>
                <c:pt idx="3">
                  <c:v>13.812</c:v>
                </c:pt>
                <c:pt idx="4">
                  <c:v>14.125</c:v>
                </c:pt>
                <c:pt idx="5">
                  <c:v>20.968</c:v>
                </c:pt>
                <c:pt idx="6">
                  <c:v>43.219</c:v>
                </c:pt>
                <c:pt idx="7">
                  <c:v>70.25</c:v>
                </c:pt>
                <c:pt idx="8">
                  <c:v>64.938</c:v>
                </c:pt>
                <c:pt idx="9">
                  <c:v>59.98</c:v>
                </c:pt>
              </c:numCache>
            </c:numRef>
          </c:val>
          <c:smooth val="0"/>
        </c:ser>
        <c:ser>
          <c:idx val="2"/>
          <c:order val="1"/>
          <c:tx>
            <c:strRef>
              <c:f>'Chart Data'!$AA$1</c:f>
              <c:strCache>
                <c:ptCount val="1"/>
                <c:pt idx="0">
                  <c:v>EPS</c:v>
                </c:pt>
              </c:strCache>
            </c:strRef>
          </c:tx>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dLbls>
            <c:numFmt formatCode="General" sourceLinked="1"/>
            <c:showLegendKey val="0"/>
            <c:showVal val="0"/>
            <c:showBubbleSize val="0"/>
            <c:showCatName val="0"/>
            <c:showSerName val="0"/>
            <c:showLeaderLines val="1"/>
            <c:showPercent val="0"/>
          </c:dLbls>
          <c:trendline>
            <c:spPr>
              <a:ln w="3175">
                <a:solidFill>
                  <a:srgbClr val="FFFFFF"/>
                </a:solidFill>
                <a:prstDash val="sysDot"/>
              </a:ln>
            </c:spPr>
            <c:trendlineType val="linear"/>
            <c:dispEq val="0"/>
            <c:dispRSqr val="1"/>
            <c:trendlineLbl>
              <c:layout>
                <c:manualLayout>
                  <c:x val="0"/>
                  <c:y val="0"/>
                </c:manualLayout>
              </c:layout>
              <c:txPr>
                <a:bodyPr vert="horz" rot="0" anchor="ctr"/>
                <a:lstStyle/>
                <a:p>
                  <a:pPr algn="ctr">
                    <a:defRPr lang="en-US" cap="none" sz="1000" b="1" i="0" u="none" baseline="0"/>
                  </a:pPr>
                </a:p>
              </c:txPr>
              <c:numFmt formatCode="General"/>
            </c:trendlineLbl>
          </c:trendline>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Data'!$AA$3:$AA$12</c:f>
              <c:numCache>
                <c:ptCount val="10"/>
                <c:pt idx="0">
                  <c:v>43.5</c:v>
                </c:pt>
                <c:pt idx="1">
                  <c:v>51</c:v>
                </c:pt>
                <c:pt idx="2">
                  <c:v>58.5</c:v>
                </c:pt>
                <c:pt idx="3">
                  <c:v>59.5</c:v>
                </c:pt>
                <c:pt idx="4">
                  <c:v>66.5</c:v>
                </c:pt>
                <c:pt idx="5">
                  <c:v>78</c:v>
                </c:pt>
                <c:pt idx="6">
                  <c:v>99</c:v>
                </c:pt>
                <c:pt idx="7">
                  <c:v>128</c:v>
                </c:pt>
                <c:pt idx="8">
                  <c:v>140</c:v>
                </c:pt>
                <c:pt idx="9">
                  <c:v>149</c:v>
                </c:pt>
              </c:numCache>
            </c:numRef>
          </c:val>
          <c:smooth val="0"/>
        </c:ser>
        <c:ser>
          <c:idx val="0"/>
          <c:order val="2"/>
          <c:tx>
            <c:strRef>
              <c:f>'Chart Data'!$W$1</c:f>
              <c:strCache>
                <c:ptCount val="1"/>
                <c:pt idx="0">
                  <c:v>Sales</c:v>
                </c:pt>
              </c:strCache>
            </c:strRef>
          </c:tx>
          <c:spPr>
            <a:ln w="38100">
              <a:solidFill>
                <a:srgbClr val="33993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Data'!$W$3:$W$12</c:f>
              <c:numCache>
                <c:ptCount val="10"/>
                <c:pt idx="0">
                  <c:v>5548.377100000001</c:v>
                </c:pt>
                <c:pt idx="1">
                  <c:v>6734.457399999999</c:v>
                </c:pt>
                <c:pt idx="2">
                  <c:v>8249.4</c:v>
                </c:pt>
                <c:pt idx="3">
                  <c:v>9362.7</c:v>
                </c:pt>
                <c:pt idx="4">
                  <c:v>10485.900000000001</c:v>
                </c:pt>
                <c:pt idx="5">
                  <c:v>11795.800000000001</c:v>
                </c:pt>
                <c:pt idx="6">
                  <c:v>13763.400000000001</c:v>
                </c:pt>
                <c:pt idx="7">
                  <c:v>16501.3</c:v>
                </c:pt>
                <c:pt idx="8">
                  <c:v>19132.9</c:v>
                </c:pt>
                <c:pt idx="9">
                  <c:v>21779.9</c:v>
                </c:pt>
              </c:numCache>
            </c:numRef>
          </c:val>
          <c:smooth val="0"/>
        </c:ser>
        <c:ser>
          <c:idx val="6"/>
          <c:order val="3"/>
          <c:tx>
            <c:strRef>
              <c:f>'Chart Data'!$Y$1</c:f>
              <c:strCache>
                <c:ptCount val="1"/>
                <c:pt idx="0">
                  <c:v>Pre-Tax Profit</c:v>
                </c:pt>
              </c:strCache>
            </c:strRef>
          </c:tx>
          <c:spPr>
            <a:ln w="381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Data'!$Y$3:$Y$12</c:f>
              <c:numCache>
                <c:ptCount val="10"/>
                <c:pt idx="0">
                  <c:v>316.63390000000004</c:v>
                </c:pt>
                <c:pt idx="1">
                  <c:v>369.1578</c:v>
                </c:pt>
                <c:pt idx="2">
                  <c:v>426.20000000000005</c:v>
                </c:pt>
                <c:pt idx="3">
                  <c:v>434.6</c:v>
                </c:pt>
                <c:pt idx="4">
                  <c:v>485</c:v>
                </c:pt>
                <c:pt idx="5">
                  <c:v>564.1</c:v>
                </c:pt>
                <c:pt idx="6">
                  <c:v>717</c:v>
                </c:pt>
                <c:pt idx="7">
                  <c:v>908.3000000000001</c:v>
                </c:pt>
                <c:pt idx="8">
                  <c:v>1011.6</c:v>
                </c:pt>
                <c:pt idx="9">
                  <c:v>1075.1000000000001</c:v>
                </c:pt>
              </c:numCache>
            </c:numRef>
          </c:val>
          <c:smooth val="0"/>
        </c:ser>
        <c:ser>
          <c:idx val="1"/>
          <c:order val="4"/>
          <c:tx>
            <c:strRef>
              <c:f>'Chart Data'!$AC$1</c:f>
              <c:strCache>
                <c:ptCount val="1"/>
                <c:pt idx="0">
                  <c:v>Cash Flow/Share</c:v>
                </c:pt>
              </c:strCache>
            </c:strRef>
          </c:tx>
          <c:spPr>
            <a:ln w="381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Data'!$AC$3:$AC$12</c:f>
              <c:numCache>
                <c:ptCount val="10"/>
                <c:pt idx="0">
                  <c:v>5.699999999999999</c:v>
                </c:pt>
                <c:pt idx="1">
                  <c:v>6.86</c:v>
                </c:pt>
                <c:pt idx="2">
                  <c:v>8.16</c:v>
                </c:pt>
                <c:pt idx="3">
                  <c:v>8.82</c:v>
                </c:pt>
                <c:pt idx="4">
                  <c:v>9.89</c:v>
                </c:pt>
                <c:pt idx="5">
                  <c:v>11.51</c:v>
                </c:pt>
                <c:pt idx="6">
                  <c:v>14.190000000000001</c:v>
                </c:pt>
                <c:pt idx="7">
                  <c:v>17.330000000000002</c:v>
                </c:pt>
                <c:pt idx="8">
                  <c:v>19.38</c:v>
                </c:pt>
                <c:pt idx="9">
                  <c:v>21.06</c:v>
                </c:pt>
              </c:numCache>
            </c:numRef>
          </c:val>
          <c:smooth val="0"/>
        </c:ser>
        <c:ser>
          <c:idx val="7"/>
          <c:order val="5"/>
          <c:tx>
            <c:strRef>
              <c:f>'Chart Data'!$AG$1</c:f>
              <c:strCache>
                <c:ptCount val="1"/>
                <c:pt idx="0">
                  <c:v>Long-Term Debt</c:v>
                </c:pt>
              </c:strCache>
            </c:strRef>
          </c:tx>
          <c:spPr>
            <a:ln w="381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Data'!$AG$3:$AG$12</c:f>
              <c:numCache>
                <c:ptCount val="10"/>
                <c:pt idx="0">
                  <c:v>484.49870000000004</c:v>
                </c:pt>
                <c:pt idx="1">
                  <c:v>796.0194000000001</c:v>
                </c:pt>
                <c:pt idx="2">
                  <c:v>970.9000000000001</c:v>
                </c:pt>
                <c:pt idx="3">
                  <c:v>1060</c:v>
                </c:pt>
                <c:pt idx="4">
                  <c:v>1001.6</c:v>
                </c:pt>
                <c:pt idx="5">
                  <c:v>967.4000000000001</c:v>
                </c:pt>
                <c:pt idx="6">
                  <c:v>960.7</c:v>
                </c:pt>
                <c:pt idx="7">
                  <c:v>1667.4</c:v>
                </c:pt>
                <c:pt idx="8">
                  <c:v>1565.5</c:v>
                </c:pt>
                <c:pt idx="9">
                  <c:v>1873.2</c:v>
                </c:pt>
              </c:numCache>
            </c:numRef>
          </c:val>
          <c:smooth val="0"/>
        </c:ser>
        <c:ser>
          <c:idx val="5"/>
          <c:order val="6"/>
          <c:tx>
            <c:strRef>
              <c:f>'Chart Data'!$AE$1</c:f>
              <c:strCache>
                <c:ptCount val="1"/>
                <c:pt idx="0">
                  <c:v>Shares Outstanding</c:v>
                </c:pt>
              </c:strCache>
            </c:strRef>
          </c:tx>
          <c:spPr>
            <a:ln w="38100">
              <a:solidFill>
                <a:srgbClr val="9966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a:effectLst>
                <a:outerShdw dist="35921" dir="2700000" algn="br">
                  <a:prstClr val="black"/>
                </a:outerShdw>
              </a:effectLst>
            </c:spPr>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Data'!$AE$3:$AE$12</c:f>
              <c:numCache>
                <c:ptCount val="10"/>
                <c:pt idx="0">
                  <c:v>459.9276</c:v>
                </c:pt>
                <c:pt idx="1">
                  <c:v>459.75379999999996</c:v>
                </c:pt>
                <c:pt idx="2">
                  <c:v>459.40000000000003</c:v>
                </c:pt>
                <c:pt idx="3">
                  <c:v>458.6</c:v>
                </c:pt>
                <c:pt idx="4">
                  <c:v>457</c:v>
                </c:pt>
                <c:pt idx="5">
                  <c:v>448.20000000000005</c:v>
                </c:pt>
                <c:pt idx="6">
                  <c:v>444.8</c:v>
                </c:pt>
                <c:pt idx="7">
                  <c:v>445.70000000000005</c:v>
                </c:pt>
                <c:pt idx="8">
                  <c:v>447</c:v>
                </c:pt>
                <c:pt idx="9">
                  <c:v>445.3</c:v>
                </c:pt>
              </c:numCache>
            </c:numRef>
          </c:val>
          <c:smooth val="0"/>
        </c:ser>
        <c:ser>
          <c:idx val="4"/>
          <c:order val="7"/>
          <c:tx>
            <c:strRef>
              <c:f>'Chart Data'!$AI$1</c:f>
              <c:strCache>
                <c:ptCount val="1"/>
                <c:pt idx="0">
                  <c:v>Low Price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Data'!$U$3:$U$12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'Chart Data'!$AI$3:$AI$12</c:f>
              <c:numCache>
                <c:ptCount val="10"/>
                <c:pt idx="0">
                  <c:v>12.531</c:v>
                </c:pt>
                <c:pt idx="1">
                  <c:v>11.5</c:v>
                </c:pt>
                <c:pt idx="2">
                  <c:v>10.25</c:v>
                </c:pt>
                <c:pt idx="3">
                  <c:v>9.562</c:v>
                </c:pt>
                <c:pt idx="4">
                  <c:v>10.062</c:v>
                </c:pt>
                <c:pt idx="5">
                  <c:v>11.5</c:v>
                </c:pt>
                <c:pt idx="6">
                  <c:v>20.093</c:v>
                </c:pt>
                <c:pt idx="7">
                  <c:v>38.875</c:v>
                </c:pt>
                <c:pt idx="8">
                  <c:v>41.438</c:v>
                </c:pt>
                <c:pt idx="9">
                  <c:v>41.5</c:v>
                </c:pt>
              </c:numCache>
            </c:numRef>
          </c:val>
          <c:smooth val="0"/>
        </c:ser>
        <c:upDownBars>
          <c:upBars>
            <c:spPr>
              <a:gradFill rotWithShape="1">
                <a:gsLst>
                  <a:gs pos="0">
                    <a:srgbClr val="CCFFCC"/>
                  </a:gs>
                  <a:gs pos="100000">
                    <a:srgbClr val="5E755E"/>
                  </a:gs>
                </a:gsLst>
                <a:lin ang="5400000" scaled="1"/>
              </a:gradFill>
            </c:spPr>
          </c:upBars>
          <c:downBars/>
        </c:upDownBars>
        <c:marker val="1"/>
        <c:axId val="8414353"/>
        <c:axId val="8620314"/>
      </c:lineChart>
      <c:catAx>
        <c:axId val="8414353"/>
        <c:scaling>
          <c:orientation val="minMax"/>
        </c:scaling>
        <c:axPos val="b"/>
        <c:majorGridlines>
          <c:spPr>
            <a:ln w="12700">
              <a:solidFill/>
            </a:ln>
          </c:spPr>
        </c:majorGridlines>
        <c:delete val="0"/>
        <c:numFmt formatCode="General" sourceLinked="0"/>
        <c:majorTickMark val="cross"/>
        <c:minorTickMark val="none"/>
        <c:tickLblPos val="nextTo"/>
        <c:spPr>
          <a:ln w="25400">
            <a:solidFill/>
          </a:ln>
        </c:spPr>
        <c:txPr>
          <a:bodyPr vert="horz" rot="0"/>
          <a:lstStyle/>
          <a:p>
            <a:pPr>
              <a:defRPr lang="en-US" cap="none" sz="1200" b="0" i="0" u="none" baseline="0"/>
            </a:pPr>
          </a:p>
        </c:txPr>
        <c:crossAx val="8620314"/>
        <c:crossesAt val="0.01"/>
        <c:auto val="0"/>
        <c:lblOffset val="100"/>
        <c:noMultiLvlLbl val="0"/>
      </c:catAx>
      <c:valAx>
        <c:axId val="8620314"/>
        <c:scaling>
          <c:logBase val="10"/>
          <c:orientation val="minMax"/>
          <c:min val="1"/>
        </c:scaling>
        <c:axPos val="l"/>
        <c:majorGridlines>
          <c:spPr>
            <a:ln w="3175">
              <a:solidFill>
                <a:srgbClr val="000000"/>
              </a:solidFill>
            </a:ln>
          </c:spPr>
        </c:majorGridlines>
        <c:minorGridlines>
          <c:spPr>
            <a:ln w="12700">
              <a:solidFill/>
              <a:prstDash val="sysDot"/>
            </a:ln>
          </c:spPr>
        </c:minorGridlines>
        <c:delete val="0"/>
        <c:numFmt formatCode="#,##0" sourceLinked="0"/>
        <c:majorTickMark val="out"/>
        <c:minorTickMark val="none"/>
        <c:tickLblPos val="nextTo"/>
        <c:spPr>
          <a:ln w="25400">
            <a:solidFill>
              <a:srgbClr val="000000"/>
            </a:solidFill>
          </a:ln>
        </c:spPr>
        <c:txPr>
          <a:bodyPr/>
          <a:lstStyle/>
          <a:p>
            <a:pPr>
              <a:defRPr lang="en-US" cap="none" sz="1000" b="0" i="0" u="none" baseline="0"/>
            </a:pPr>
          </a:p>
        </c:txPr>
        <c:crossAx val="8414353"/>
        <c:crossesAt val="1"/>
        <c:crossBetween val="midCat"/>
        <c:dispUnits/>
        <c:minorUnit val="10"/>
      </c:valAx>
      <c:spPr>
        <a:solidFill>
          <a:srgbClr val="FFFFFF"/>
        </a:solidFill>
        <a:ln w="12700">
          <a:solidFill>
            <a:srgbClr val="000000"/>
          </a:solidFill>
        </a:ln>
      </c:spPr>
    </c:plotArea>
    <c:legend>
      <c:legendPos val="r"/>
      <c:legendEntry>
        <c:idx val="0"/>
        <c:delete val="1"/>
      </c:legendEntry>
      <c:legendEntry>
        <c:idx val="7"/>
        <c:delete val="1"/>
      </c:legendEntry>
      <c:legendEntry>
        <c:idx val="8"/>
        <c:delete val="1"/>
      </c:legendEntry>
      <c:layout>
        <c:manualLayout>
          <c:xMode val="edge"/>
          <c:yMode val="edge"/>
          <c:x val="0.85625"/>
          <c:y val="0.7585"/>
          <c:w val="0.1395"/>
          <c:h val="0.2035"/>
        </c:manualLayout>
      </c:layout>
      <c:overlay val="0"/>
      <c:spPr>
        <a:solidFill>
          <a:srgbClr val="FFFFFF"/>
        </a:solidFill>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headerFooter>
    <oddHeader>&amp;A</oddHead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100</xdr:row>
      <xdr:rowOff>76200</xdr:rowOff>
    </xdr:from>
    <xdr:to>
      <xdr:col>12</xdr:col>
      <xdr:colOff>428625</xdr:colOff>
      <xdr:row>125</xdr:row>
      <xdr:rowOff>133350</xdr:rowOff>
    </xdr:to>
    <xdr:graphicFrame>
      <xdr:nvGraphicFramePr>
        <xdr:cNvPr id="1" name="Chart 6"/>
        <xdr:cNvGraphicFramePr/>
      </xdr:nvGraphicFramePr>
      <xdr:xfrm>
        <a:off x="152400" y="15325725"/>
        <a:ext cx="9496425" cy="3867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381625"/>
    <xdr:graphicFrame>
      <xdr:nvGraphicFramePr>
        <xdr:cNvPr id="1" name="Shape 1025"/>
        <xdr:cNvGraphicFramePr/>
      </xdr:nvGraphicFramePr>
      <xdr:xfrm>
        <a:off x="0" y="0"/>
        <a:ext cx="9305925" cy="5381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538"/>
  <sheetViews>
    <sheetView workbookViewId="0" topLeftCell="A217">
      <selection activeCell="B229" sqref="B229"/>
    </sheetView>
  </sheetViews>
  <sheetFormatPr defaultColWidth="9.00390625" defaultRowHeight="12.75"/>
  <cols>
    <col min="2" max="2" width="51.125" style="315" customWidth="1"/>
    <col min="3" max="3" width="30.75390625" style="311" bestFit="1" customWidth="1"/>
    <col min="4" max="16384" width="8.875" style="311" customWidth="1"/>
  </cols>
  <sheetData>
    <row r="1" spans="1:2" s="310" customFormat="1" ht="15.75">
      <c r="A1">
        <v>16.469</v>
      </c>
      <c r="B1" s="309" t="s">
        <v>4</v>
      </c>
    </row>
    <row r="2" spans="1:2" s="310" customFormat="1" ht="15.75">
      <c r="A2">
        <v>17.062</v>
      </c>
      <c r="B2" s="309" t="s">
        <v>131</v>
      </c>
    </row>
    <row r="3" spans="1:2" s="310" customFormat="1" ht="15.75">
      <c r="A3">
        <v>14.625</v>
      </c>
      <c r="B3" s="309" t="s">
        <v>131</v>
      </c>
    </row>
    <row r="4" spans="1:2" ht="15.75">
      <c r="A4">
        <v>13.812</v>
      </c>
      <c r="B4" s="309" t="s">
        <v>131</v>
      </c>
    </row>
    <row r="5" spans="1:2" ht="15.75">
      <c r="A5">
        <v>14.125</v>
      </c>
      <c r="B5" s="309" t="s">
        <v>131</v>
      </c>
    </row>
    <row r="6" spans="1:2" ht="15.75">
      <c r="A6">
        <v>20.968</v>
      </c>
      <c r="B6" s="309" t="s">
        <v>131</v>
      </c>
    </row>
    <row r="7" spans="1:2" ht="15.75">
      <c r="A7">
        <v>43.219</v>
      </c>
      <c r="B7" s="309" t="s">
        <v>131</v>
      </c>
    </row>
    <row r="8" spans="1:2" ht="15.75">
      <c r="A8">
        <v>70.25</v>
      </c>
      <c r="B8" s="309" t="s">
        <v>131</v>
      </c>
    </row>
    <row r="9" spans="1:2" ht="15.75">
      <c r="A9">
        <v>64.938</v>
      </c>
      <c r="B9" s="309" t="s">
        <v>131</v>
      </c>
    </row>
    <row r="10" spans="1:2" ht="15.75">
      <c r="A10">
        <v>59.98</v>
      </c>
      <c r="B10" s="317" t="s">
        <v>92</v>
      </c>
    </row>
    <row r="11" spans="1:2" ht="15.75">
      <c r="A11">
        <v>12.531</v>
      </c>
      <c r="B11" s="318" t="s">
        <v>132</v>
      </c>
    </row>
    <row r="12" spans="1:2" ht="15.75">
      <c r="A12">
        <v>11.5</v>
      </c>
      <c r="B12" s="309" t="s">
        <v>133</v>
      </c>
    </row>
    <row r="13" spans="1:2" ht="15.75">
      <c r="A13">
        <v>10.25</v>
      </c>
      <c r="B13" s="309" t="s">
        <v>133</v>
      </c>
    </row>
    <row r="14" spans="1:2" ht="15.75">
      <c r="A14">
        <v>9.562</v>
      </c>
      <c r="B14" s="309" t="s">
        <v>133</v>
      </c>
    </row>
    <row r="15" spans="1:2" ht="15.75">
      <c r="A15">
        <v>10.062</v>
      </c>
      <c r="B15" s="309" t="s">
        <v>133</v>
      </c>
    </row>
    <row r="16" spans="1:2" ht="15.75">
      <c r="A16">
        <v>11.5</v>
      </c>
      <c r="B16" s="309" t="s">
        <v>133</v>
      </c>
    </row>
    <row r="17" spans="1:2" ht="15.75">
      <c r="A17">
        <v>20.093</v>
      </c>
      <c r="B17" s="309" t="s">
        <v>133</v>
      </c>
    </row>
    <row r="18" spans="1:2" s="312" customFormat="1" ht="15.75">
      <c r="A18">
        <v>38.875</v>
      </c>
      <c r="B18" s="309" t="s">
        <v>133</v>
      </c>
    </row>
    <row r="19" spans="1:2" ht="15.75">
      <c r="A19">
        <v>41.438</v>
      </c>
      <c r="B19" s="309" t="s">
        <v>133</v>
      </c>
    </row>
    <row r="20" spans="1:2" ht="15.75">
      <c r="A20">
        <v>41.5</v>
      </c>
      <c r="B20" s="317" t="s">
        <v>91</v>
      </c>
    </row>
    <row r="21" spans="1:2" ht="15.75">
      <c r="A21">
        <v>55483.771</v>
      </c>
      <c r="B21" s="318" t="s">
        <v>134</v>
      </c>
    </row>
    <row r="22" spans="1:2" ht="15.75">
      <c r="A22">
        <v>67344.574</v>
      </c>
      <c r="B22" s="309" t="s">
        <v>135</v>
      </c>
    </row>
    <row r="23" spans="1:2" ht="15.75">
      <c r="A23">
        <v>82494</v>
      </c>
      <c r="B23" s="309" t="s">
        <v>135</v>
      </c>
    </row>
    <row r="24" spans="1:2" ht="15.75">
      <c r="A24">
        <v>93627</v>
      </c>
      <c r="B24" s="309" t="s">
        <v>135</v>
      </c>
    </row>
    <row r="25" spans="1:2" ht="15.75">
      <c r="A25">
        <v>104859</v>
      </c>
      <c r="B25" s="309" t="s">
        <v>135</v>
      </c>
    </row>
    <row r="26" spans="1:2" ht="15.75">
      <c r="A26">
        <v>117958</v>
      </c>
      <c r="B26" s="309" t="s">
        <v>135</v>
      </c>
    </row>
    <row r="27" spans="1:2" ht="15.75">
      <c r="A27">
        <v>137634</v>
      </c>
      <c r="B27" s="309" t="s">
        <v>135</v>
      </c>
    </row>
    <row r="28" spans="1:2" ht="15.75">
      <c r="A28">
        <v>165013</v>
      </c>
      <c r="B28" s="309" t="s">
        <v>135</v>
      </c>
    </row>
    <row r="29" spans="1:2" ht="15.75">
      <c r="A29">
        <v>191329</v>
      </c>
      <c r="B29" s="309" t="s">
        <v>135</v>
      </c>
    </row>
    <row r="30" spans="1:2" s="312" customFormat="1" ht="15.75">
      <c r="A30">
        <v>217799</v>
      </c>
      <c r="B30" s="317" t="s">
        <v>88</v>
      </c>
    </row>
    <row r="31" spans="1:2" s="313" customFormat="1" ht="15.75">
      <c r="A31">
        <v>37</v>
      </c>
      <c r="B31" s="319" t="s">
        <v>136</v>
      </c>
    </row>
    <row r="32" spans="1:2" ht="15.75">
      <c r="A32">
        <v>36.795</v>
      </c>
      <c r="B32" s="309" t="s">
        <v>137</v>
      </c>
    </row>
    <row r="33" spans="1:2" ht="15.75">
      <c r="A33">
        <v>37.095</v>
      </c>
      <c r="B33" s="309" t="s">
        <v>137</v>
      </c>
    </row>
    <row r="34" spans="1:2" ht="15.75">
      <c r="A34">
        <v>36.954</v>
      </c>
      <c r="B34" s="309" t="s">
        <v>137</v>
      </c>
    </row>
    <row r="35" spans="1:2" ht="15.75">
      <c r="A35">
        <v>36.99</v>
      </c>
      <c r="B35" s="309" t="s">
        <v>137</v>
      </c>
    </row>
    <row r="36" spans="1:2" ht="15.75">
      <c r="A36">
        <v>37.493</v>
      </c>
      <c r="B36" s="309" t="s">
        <v>137</v>
      </c>
    </row>
    <row r="37" spans="1:2" ht="15.75">
      <c r="A37">
        <v>38.087</v>
      </c>
      <c r="B37" s="309" t="s">
        <v>137</v>
      </c>
    </row>
    <row r="38" spans="1:2" ht="15.75">
      <c r="A38">
        <v>36.951</v>
      </c>
      <c r="B38" s="309" t="s">
        <v>137</v>
      </c>
    </row>
    <row r="39" spans="1:2" ht="15.75">
      <c r="A39">
        <v>37.944</v>
      </c>
      <c r="B39" s="309" t="s">
        <v>137</v>
      </c>
    </row>
    <row r="40" spans="1:2" ht="15.75">
      <c r="A40">
        <v>37.897</v>
      </c>
      <c r="B40" s="317" t="s">
        <v>89</v>
      </c>
    </row>
    <row r="41" spans="1:2" ht="15.75">
      <c r="A41">
        <v>3166.339</v>
      </c>
      <c r="B41" s="318" t="s">
        <v>138</v>
      </c>
    </row>
    <row r="42" spans="1:2" ht="15.75">
      <c r="A42">
        <v>3691.578</v>
      </c>
      <c r="B42" s="309" t="s">
        <v>139</v>
      </c>
    </row>
    <row r="43" spans="1:2" ht="15.75">
      <c r="A43">
        <v>4262</v>
      </c>
      <c r="B43" s="309" t="s">
        <v>139</v>
      </c>
    </row>
    <row r="44" spans="1:2" ht="15.75">
      <c r="A44">
        <v>4346</v>
      </c>
      <c r="B44" s="309" t="s">
        <v>139</v>
      </c>
    </row>
    <row r="45" spans="1:2" ht="15.75">
      <c r="A45">
        <v>4850</v>
      </c>
      <c r="B45" s="309" t="s">
        <v>139</v>
      </c>
    </row>
    <row r="46" spans="1:2" ht="15.75">
      <c r="A46">
        <v>5641</v>
      </c>
      <c r="B46" s="309" t="s">
        <v>139</v>
      </c>
    </row>
    <row r="47" spans="1:2" ht="15.75">
      <c r="A47">
        <v>7170</v>
      </c>
      <c r="B47" s="309" t="s">
        <v>139</v>
      </c>
    </row>
    <row r="48" spans="1:2" ht="15.75">
      <c r="A48">
        <v>9083</v>
      </c>
      <c r="B48" s="309" t="s">
        <v>139</v>
      </c>
    </row>
    <row r="49" spans="1:2" ht="15.75">
      <c r="A49">
        <v>10116</v>
      </c>
      <c r="B49" s="309" t="s">
        <v>139</v>
      </c>
    </row>
    <row r="50" spans="1:2" ht="15.75">
      <c r="A50">
        <v>10751</v>
      </c>
      <c r="B50" s="317" t="s">
        <v>90</v>
      </c>
    </row>
    <row r="51" spans="1:2" ht="15.75">
      <c r="A51">
        <v>1994.794</v>
      </c>
      <c r="B51" s="318" t="s">
        <v>140</v>
      </c>
    </row>
    <row r="52" spans="1:2" ht="15.75">
      <c r="A52">
        <v>2333.277</v>
      </c>
      <c r="B52" s="309" t="s">
        <v>141</v>
      </c>
    </row>
    <row r="53" spans="1:2" ht="15.75">
      <c r="A53">
        <v>2681</v>
      </c>
      <c r="B53" s="309" t="s">
        <v>141</v>
      </c>
    </row>
    <row r="54" spans="1:2" ht="15.75">
      <c r="A54">
        <v>2740</v>
      </c>
      <c r="B54" s="309" t="s">
        <v>141</v>
      </c>
    </row>
    <row r="55" spans="1:2" ht="15.75">
      <c r="A55">
        <v>3056</v>
      </c>
      <c r="B55" s="309" t="s">
        <v>141</v>
      </c>
    </row>
    <row r="56" spans="1:2" ht="15.75">
      <c r="A56">
        <v>3526</v>
      </c>
      <c r="B56" s="309" t="s">
        <v>141</v>
      </c>
    </row>
    <row r="57" spans="1:2" ht="15.75">
      <c r="A57">
        <v>4439.16</v>
      </c>
      <c r="B57" s="309" t="s">
        <v>141</v>
      </c>
    </row>
    <row r="58" spans="1:2" ht="15.75">
      <c r="A58">
        <v>5726.72</v>
      </c>
      <c r="B58" s="309" t="s">
        <v>141</v>
      </c>
    </row>
    <row r="59" spans="1:2" ht="15.75">
      <c r="A59">
        <v>6277.6</v>
      </c>
      <c r="B59" s="309" t="s">
        <v>141</v>
      </c>
    </row>
    <row r="60" spans="1:2" ht="15.75">
      <c r="A60">
        <v>6676.69</v>
      </c>
      <c r="B60" s="317" t="s">
        <v>93</v>
      </c>
    </row>
    <row r="61" spans="1:2" ht="15.75">
      <c r="A61">
        <v>1.905</v>
      </c>
      <c r="B61" s="318" t="s">
        <v>142</v>
      </c>
    </row>
    <row r="62" spans="1:2" ht="15.75">
      <c r="A62">
        <v>2.338</v>
      </c>
      <c r="B62" s="309" t="s">
        <v>143</v>
      </c>
    </row>
    <row r="63" spans="1:2" ht="15.75">
      <c r="A63">
        <v>2.77</v>
      </c>
      <c r="B63" s="309" t="s">
        <v>143</v>
      </c>
    </row>
    <row r="64" spans="1:2" ht="15.75">
      <c r="A64">
        <v>3.217</v>
      </c>
      <c r="B64" s="309" t="s">
        <v>143</v>
      </c>
    </row>
    <row r="65" spans="1:2" ht="15.75">
      <c r="A65">
        <v>3.751</v>
      </c>
      <c r="B65" s="309" t="s">
        <v>143</v>
      </c>
    </row>
    <row r="66" spans="1:2" ht="15.75">
      <c r="A66">
        <v>4.128</v>
      </c>
      <c r="B66" s="309" t="s">
        <v>143</v>
      </c>
    </row>
    <row r="67" spans="1:2" ht="15.75">
      <c r="A67">
        <v>4.747</v>
      </c>
      <c r="B67" s="309" t="s">
        <v>143</v>
      </c>
    </row>
    <row r="68" spans="1:2" ht="15.75">
      <c r="A68">
        <v>5.796</v>
      </c>
      <c r="B68" s="309" t="s">
        <v>143</v>
      </c>
    </row>
    <row r="69" spans="1:2" ht="15.75">
      <c r="A69">
        <v>7.012</v>
      </c>
      <c r="B69" s="309" t="s">
        <v>143</v>
      </c>
    </row>
    <row r="70" spans="1:2" ht="15.75">
      <c r="A70">
        <v>7.883</v>
      </c>
      <c r="B70" s="317" t="s">
        <v>94</v>
      </c>
    </row>
    <row r="71" spans="1:2" ht="15.75">
      <c r="A71">
        <v>0.435</v>
      </c>
      <c r="B71" s="318" t="s">
        <v>5</v>
      </c>
    </row>
    <row r="72" spans="1:2" ht="15.75">
      <c r="A72">
        <v>0.51</v>
      </c>
      <c r="B72" s="309" t="s">
        <v>6</v>
      </c>
    </row>
    <row r="73" spans="1:2" ht="15.75">
      <c r="A73">
        <v>0.585</v>
      </c>
      <c r="B73" s="309" t="s">
        <v>6</v>
      </c>
    </row>
    <row r="74" spans="1:2" ht="15.75">
      <c r="A74">
        <v>0.595</v>
      </c>
      <c r="B74" s="309" t="s">
        <v>6</v>
      </c>
    </row>
    <row r="75" spans="1:2" ht="15.75">
      <c r="A75">
        <v>0.665</v>
      </c>
      <c r="B75" s="309" t="s">
        <v>6</v>
      </c>
    </row>
    <row r="76" spans="1:2" ht="15.75">
      <c r="A76">
        <v>0.78</v>
      </c>
      <c r="B76" s="309" t="s">
        <v>6</v>
      </c>
    </row>
    <row r="77" spans="1:2" ht="15.75">
      <c r="A77">
        <v>0.99</v>
      </c>
      <c r="B77" s="309" t="s">
        <v>6</v>
      </c>
    </row>
    <row r="78" spans="1:2" ht="15.75">
      <c r="A78">
        <v>1.28</v>
      </c>
      <c r="B78" s="309" t="s">
        <v>6</v>
      </c>
    </row>
    <row r="79" spans="1:2" ht="15.75">
      <c r="A79">
        <v>1.4</v>
      </c>
      <c r="B79" s="309" t="s">
        <v>6</v>
      </c>
    </row>
    <row r="80" spans="1:2" ht="15.75">
      <c r="A80">
        <v>1.49</v>
      </c>
      <c r="B80" s="317" t="s">
        <v>95</v>
      </c>
    </row>
    <row r="81" spans="1:2" ht="15.75">
      <c r="A81">
        <v>0.052</v>
      </c>
      <c r="B81" s="318" t="s">
        <v>144</v>
      </c>
    </row>
    <row r="82" spans="1:2" ht="15.75">
      <c r="A82">
        <v>0.065</v>
      </c>
      <c r="B82" s="309" t="s">
        <v>145</v>
      </c>
    </row>
    <row r="83" spans="1:2" ht="15.75">
      <c r="A83">
        <v>0.085</v>
      </c>
      <c r="B83" s="309" t="s">
        <v>145</v>
      </c>
    </row>
    <row r="84" spans="1:2" ht="15.75">
      <c r="A84">
        <v>0.1</v>
      </c>
      <c r="B84" s="309" t="s">
        <v>145</v>
      </c>
    </row>
    <row r="85" spans="1:2" ht="15.75">
      <c r="A85">
        <v>0.105</v>
      </c>
      <c r="B85" s="309" t="s">
        <v>145</v>
      </c>
    </row>
    <row r="86" spans="1:2" ht="15.75">
      <c r="A86">
        <v>0.135</v>
      </c>
      <c r="B86" s="309" t="s">
        <v>145</v>
      </c>
    </row>
    <row r="87" spans="1:2" ht="15.75">
      <c r="A87">
        <v>0.155</v>
      </c>
      <c r="B87" s="309" t="s">
        <v>145</v>
      </c>
    </row>
    <row r="88" spans="1:2" ht="15.75">
      <c r="A88">
        <v>0.2</v>
      </c>
      <c r="B88" s="309" t="s">
        <v>145</v>
      </c>
    </row>
    <row r="89" spans="1:2" ht="15.75">
      <c r="A89">
        <v>0.24</v>
      </c>
      <c r="B89" s="309" t="s">
        <v>145</v>
      </c>
    </row>
    <row r="90" spans="1:2" ht="15.75">
      <c r="A90">
        <v>0.28</v>
      </c>
      <c r="B90" s="317" t="s">
        <v>96</v>
      </c>
    </row>
    <row r="91" spans="1:2" ht="15.75">
      <c r="A91">
        <v>55</v>
      </c>
      <c r="B91" s="309" t="s">
        <v>146</v>
      </c>
    </row>
    <row r="92" spans="1:2" ht="15.75">
      <c r="A92">
        <v>30.387</v>
      </c>
      <c r="B92" s="309" t="s">
        <v>147</v>
      </c>
    </row>
    <row r="93" spans="1:2" ht="15.75">
      <c r="A93">
        <v>0.36</v>
      </c>
      <c r="B93" s="309" t="s">
        <v>148</v>
      </c>
    </row>
    <row r="94" spans="1:2" ht="15.75">
      <c r="A94">
        <v>2001</v>
      </c>
      <c r="B94" s="309" t="s">
        <v>7</v>
      </c>
    </row>
    <row r="95" spans="1:2" ht="15.75">
      <c r="A95">
        <v>9</v>
      </c>
      <c r="B95" s="309" t="s">
        <v>8</v>
      </c>
    </row>
    <row r="96" spans="1:2" ht="15.75">
      <c r="A96">
        <v>59.3</v>
      </c>
      <c r="B96" s="309" t="s">
        <v>9</v>
      </c>
    </row>
    <row r="97" spans="1:2" ht="15.75">
      <c r="A97">
        <v>43.72</v>
      </c>
      <c r="B97" s="309" t="s">
        <v>10</v>
      </c>
    </row>
    <row r="98" spans="1:2" ht="15.75">
      <c r="A98">
        <v>4395</v>
      </c>
      <c r="B98" s="309" t="s">
        <v>11</v>
      </c>
    </row>
    <row r="99" spans="1:2" ht="15.75">
      <c r="A99">
        <v>4481</v>
      </c>
      <c r="B99" s="309" t="s">
        <v>12</v>
      </c>
    </row>
    <row r="100" spans="1:2" ht="15.75">
      <c r="A100">
        <v>0</v>
      </c>
      <c r="B100" s="309" t="s">
        <v>13</v>
      </c>
    </row>
    <row r="101" ht="15.75">
      <c r="B101" s="309" t="s">
        <v>14</v>
      </c>
    </row>
    <row r="102" spans="1:2" ht="15.75">
      <c r="A102">
        <v>25401</v>
      </c>
      <c r="B102" s="309" t="s">
        <v>15</v>
      </c>
    </row>
    <row r="103" spans="1:2" ht="15.75">
      <c r="A103">
        <v>16</v>
      </c>
      <c r="B103" s="309" t="s">
        <v>16</v>
      </c>
    </row>
    <row r="104" spans="1:2" ht="15.75">
      <c r="A104">
        <v>71073</v>
      </c>
      <c r="B104" s="309" t="s">
        <v>17</v>
      </c>
    </row>
    <row r="105" spans="1:2" ht="15.75">
      <c r="A105">
        <v>64211</v>
      </c>
      <c r="B105" s="309" t="s">
        <v>18</v>
      </c>
    </row>
    <row r="106" spans="1:2" ht="15.75">
      <c r="A106">
        <v>0.57</v>
      </c>
      <c r="B106" s="309" t="s">
        <v>19</v>
      </c>
    </row>
    <row r="107" spans="1:2" ht="15.75">
      <c r="A107">
        <v>0.49</v>
      </c>
      <c r="B107" s="309" t="s">
        <v>20</v>
      </c>
    </row>
    <row r="108" ht="15.75">
      <c r="B108" s="309" t="s">
        <v>21</v>
      </c>
    </row>
    <row r="109" spans="1:2" ht="15.75">
      <c r="A109">
        <v>3.435</v>
      </c>
      <c r="B109" s="309" t="s">
        <v>22</v>
      </c>
    </row>
    <row r="110" ht="15.75">
      <c r="B110" s="309" t="s">
        <v>23</v>
      </c>
    </row>
    <row r="111" ht="15.75">
      <c r="B111" s="309" t="s">
        <v>24</v>
      </c>
    </row>
    <row r="112" ht="15.75">
      <c r="B112" s="309" t="s">
        <v>25</v>
      </c>
    </row>
    <row r="113" ht="15.75">
      <c r="B113" s="320" t="s">
        <v>149</v>
      </c>
    </row>
    <row r="114" ht="15.75">
      <c r="B114" s="309" t="s">
        <v>150</v>
      </c>
    </row>
    <row r="115" ht="15.75">
      <c r="B115" s="309" t="s">
        <v>150</v>
      </c>
    </row>
    <row r="116" ht="15.75">
      <c r="B116" s="309" t="s">
        <v>150</v>
      </c>
    </row>
    <row r="117" ht="15.75">
      <c r="B117" s="309" t="s">
        <v>150</v>
      </c>
    </row>
    <row r="118" ht="15.75">
      <c r="B118" s="309" t="s">
        <v>150</v>
      </c>
    </row>
    <row r="119" ht="15.75">
      <c r="B119" s="309" t="s">
        <v>150</v>
      </c>
    </row>
    <row r="120" ht="15.75">
      <c r="B120" s="309" t="s">
        <v>150</v>
      </c>
    </row>
    <row r="121" ht="15.75">
      <c r="B121" s="309" t="s">
        <v>150</v>
      </c>
    </row>
    <row r="122" ht="15.75">
      <c r="B122" s="309" t="s">
        <v>150</v>
      </c>
    </row>
    <row r="123" ht="15.75">
      <c r="B123" s="320" t="s">
        <v>150</v>
      </c>
    </row>
    <row r="124" ht="15.75">
      <c r="B124" s="309" t="s">
        <v>26</v>
      </c>
    </row>
    <row r="125" ht="15.75">
      <c r="B125" s="309" t="s">
        <v>27</v>
      </c>
    </row>
    <row r="126" ht="15.75">
      <c r="B126" s="309" t="s">
        <v>28</v>
      </c>
    </row>
    <row r="127" ht="15.75">
      <c r="B127" s="309" t="s">
        <v>29</v>
      </c>
    </row>
    <row r="128" ht="15.75">
      <c r="B128" s="309" t="s">
        <v>30</v>
      </c>
    </row>
    <row r="129" ht="15.75">
      <c r="B129" s="309" t="s">
        <v>194</v>
      </c>
    </row>
    <row r="130" ht="15.75">
      <c r="B130" s="309" t="s">
        <v>31</v>
      </c>
    </row>
    <row r="131" ht="15.75">
      <c r="B131" s="309" t="s">
        <v>32</v>
      </c>
    </row>
    <row r="132" ht="15.75">
      <c r="B132" s="309" t="s">
        <v>33</v>
      </c>
    </row>
    <row r="133" ht="15.75">
      <c r="B133" s="309" t="s">
        <v>151</v>
      </c>
    </row>
    <row r="134" ht="15.75">
      <c r="B134" s="309" t="s">
        <v>34</v>
      </c>
    </row>
    <row r="135" ht="15.75">
      <c r="B135" s="309" t="s">
        <v>35</v>
      </c>
    </row>
    <row r="136" ht="15.75">
      <c r="B136" s="309" t="s">
        <v>36</v>
      </c>
    </row>
    <row r="137" ht="15.75">
      <c r="B137" s="309" t="s">
        <v>37</v>
      </c>
    </row>
    <row r="138" ht="15.75">
      <c r="B138" s="309" t="s">
        <v>38</v>
      </c>
    </row>
    <row r="139" ht="15.75">
      <c r="B139" s="309" t="s">
        <v>39</v>
      </c>
    </row>
    <row r="140" ht="15.75">
      <c r="B140" s="309" t="s">
        <v>40</v>
      </c>
    </row>
    <row r="141" ht="15.75">
      <c r="B141" s="309" t="s">
        <v>41</v>
      </c>
    </row>
    <row r="142" ht="15.75">
      <c r="B142" s="309" t="s">
        <v>42</v>
      </c>
    </row>
    <row r="143" ht="15.75">
      <c r="B143" s="309" t="s">
        <v>43</v>
      </c>
    </row>
    <row r="144" ht="15.75">
      <c r="B144" s="309" t="s">
        <v>44</v>
      </c>
    </row>
    <row r="145" ht="15.75">
      <c r="B145" s="309" t="s">
        <v>45</v>
      </c>
    </row>
    <row r="146" ht="15.75">
      <c r="B146" s="309" t="s">
        <v>46</v>
      </c>
    </row>
    <row r="147" ht="15.75">
      <c r="B147" s="309" t="s">
        <v>47</v>
      </c>
    </row>
    <row r="148" ht="15.75">
      <c r="B148" s="309" t="s">
        <v>48</v>
      </c>
    </row>
    <row r="149" ht="15.75">
      <c r="B149" s="309" t="s">
        <v>152</v>
      </c>
    </row>
    <row r="150" ht="15.75">
      <c r="B150" s="309" t="s">
        <v>49</v>
      </c>
    </row>
    <row r="151" ht="15.75">
      <c r="B151" s="309" t="s">
        <v>50</v>
      </c>
    </row>
    <row r="152" spans="1:2" ht="15.75">
      <c r="A152">
        <v>2758</v>
      </c>
      <c r="B152" s="309" t="s">
        <v>51</v>
      </c>
    </row>
    <row r="153" spans="1:2" ht="15.75">
      <c r="A153">
        <v>2108</v>
      </c>
      <c r="B153" s="309" t="s">
        <v>153</v>
      </c>
    </row>
    <row r="154" spans="1:2" ht="15.75">
      <c r="A154">
        <v>24891</v>
      </c>
      <c r="B154" s="309" t="s">
        <v>154</v>
      </c>
    </row>
    <row r="155" spans="1:2" ht="15.75">
      <c r="A155">
        <v>30483</v>
      </c>
      <c r="B155" s="309" t="s">
        <v>332</v>
      </c>
    </row>
    <row r="156" spans="1:2" ht="15.75">
      <c r="A156">
        <v>5793</v>
      </c>
      <c r="B156" s="309" t="s">
        <v>155</v>
      </c>
    </row>
    <row r="157" spans="1:2" ht="15.75">
      <c r="A157">
        <v>32617</v>
      </c>
      <c r="B157" s="320" t="s">
        <v>333</v>
      </c>
    </row>
    <row r="158" spans="1:2" ht="15.75">
      <c r="A158">
        <v>2418</v>
      </c>
      <c r="B158" s="309" t="s">
        <v>156</v>
      </c>
    </row>
    <row r="159" spans="1:2" ht="15.75">
      <c r="A159">
        <v>1679</v>
      </c>
      <c r="B159" s="309" t="s">
        <v>157</v>
      </c>
    </row>
    <row r="160" spans="1:2" ht="15.75">
      <c r="A160">
        <v>23532</v>
      </c>
      <c r="B160" s="309" t="s">
        <v>158</v>
      </c>
    </row>
    <row r="161" spans="1:2" ht="15.75">
      <c r="A161">
        <v>28895</v>
      </c>
      <c r="B161" s="309" t="s">
        <v>52</v>
      </c>
    </row>
    <row r="162" spans="1:2" ht="15.75">
      <c r="A162">
        <v>3148</v>
      </c>
      <c r="B162" s="309" t="s">
        <v>53</v>
      </c>
    </row>
    <row r="163" spans="1:2" ht="15.75">
      <c r="A163">
        <v>28626</v>
      </c>
      <c r="B163" s="320" t="s">
        <v>54</v>
      </c>
    </row>
    <row r="164" spans="1:2" ht="15.75">
      <c r="A164">
        <v>64738</v>
      </c>
      <c r="B164" s="321" t="s">
        <v>55</v>
      </c>
    </row>
    <row r="165" spans="1:2" ht="15.75">
      <c r="A165">
        <v>4844.987</v>
      </c>
      <c r="B165" s="320" t="s">
        <v>56</v>
      </c>
    </row>
    <row r="166" spans="1:2" ht="15.75">
      <c r="A166">
        <v>7960.194</v>
      </c>
      <c r="B166" s="309" t="s">
        <v>57</v>
      </c>
    </row>
    <row r="167" spans="1:2" ht="15.75">
      <c r="A167">
        <v>9709</v>
      </c>
      <c r="B167" s="309" t="s">
        <v>58</v>
      </c>
    </row>
    <row r="168" spans="1:2" ht="15.75">
      <c r="A168">
        <v>10600</v>
      </c>
      <c r="B168" s="309" t="s">
        <v>58</v>
      </c>
    </row>
    <row r="169" spans="1:2" ht="15.75">
      <c r="A169">
        <v>10016</v>
      </c>
      <c r="B169" s="309" t="s">
        <v>58</v>
      </c>
    </row>
    <row r="170" spans="1:2" ht="15.75">
      <c r="A170">
        <v>9674</v>
      </c>
      <c r="B170" s="309" t="s">
        <v>58</v>
      </c>
    </row>
    <row r="171" spans="1:2" ht="15.75">
      <c r="A171">
        <v>9607</v>
      </c>
      <c r="B171" s="309" t="s">
        <v>58</v>
      </c>
    </row>
    <row r="172" spans="1:2" ht="15.75">
      <c r="A172">
        <v>16674</v>
      </c>
      <c r="B172" s="309" t="s">
        <v>58</v>
      </c>
    </row>
    <row r="173" spans="1:2" ht="15.75">
      <c r="A173">
        <v>15655</v>
      </c>
      <c r="B173" s="309" t="s">
        <v>58</v>
      </c>
    </row>
    <row r="174" spans="1:2" ht="15.75">
      <c r="A174">
        <v>18732</v>
      </c>
      <c r="B174" s="317" t="s">
        <v>97</v>
      </c>
    </row>
    <row r="175" spans="1:2" ht="15.75">
      <c r="A175">
        <v>4599.276</v>
      </c>
      <c r="B175" s="309" t="s">
        <v>159</v>
      </c>
    </row>
    <row r="176" spans="1:2" ht="15.75">
      <c r="A176">
        <v>4597.538</v>
      </c>
      <c r="B176" s="309" t="s">
        <v>160</v>
      </c>
    </row>
    <row r="177" spans="1:2" ht="15.75">
      <c r="A177">
        <v>4594</v>
      </c>
      <c r="B177" s="309" t="s">
        <v>160</v>
      </c>
    </row>
    <row r="178" spans="1:2" ht="15.75">
      <c r="A178">
        <v>4586</v>
      </c>
      <c r="B178" s="309" t="s">
        <v>160</v>
      </c>
    </row>
    <row r="179" spans="1:2" ht="15.75">
      <c r="A179">
        <v>4570</v>
      </c>
      <c r="B179" s="309" t="s">
        <v>160</v>
      </c>
    </row>
    <row r="180" spans="1:2" ht="15.75">
      <c r="A180">
        <v>4482</v>
      </c>
      <c r="B180" s="309" t="s">
        <v>160</v>
      </c>
    </row>
    <row r="181" spans="1:2" ht="15.75">
      <c r="A181">
        <v>4448</v>
      </c>
      <c r="B181" s="309" t="s">
        <v>160</v>
      </c>
    </row>
    <row r="182" spans="1:2" ht="15.75">
      <c r="A182">
        <v>4457</v>
      </c>
      <c r="B182" s="309" t="s">
        <v>160</v>
      </c>
    </row>
    <row r="183" spans="1:2" ht="15.75">
      <c r="A183">
        <v>4470</v>
      </c>
      <c r="B183" s="309" t="s">
        <v>160</v>
      </c>
    </row>
    <row r="184" spans="1:2" ht="15.75">
      <c r="A184">
        <v>4453</v>
      </c>
      <c r="B184" s="317" t="s">
        <v>98</v>
      </c>
    </row>
    <row r="185" spans="1:2" ht="15.75">
      <c r="A185">
        <v>0.57</v>
      </c>
      <c r="B185" s="309" t="s">
        <v>59</v>
      </c>
    </row>
    <row r="186" spans="1:2" ht="15.75">
      <c r="A186">
        <v>0.686</v>
      </c>
      <c r="B186" s="309" t="s">
        <v>60</v>
      </c>
    </row>
    <row r="187" spans="1:2" ht="15.75">
      <c r="A187">
        <v>0.816</v>
      </c>
      <c r="B187" s="309" t="s">
        <v>60</v>
      </c>
    </row>
    <row r="188" spans="1:2" ht="15.75">
      <c r="A188">
        <v>0.882</v>
      </c>
      <c r="B188" s="309" t="s">
        <v>60</v>
      </c>
    </row>
    <row r="189" spans="1:2" ht="15.75">
      <c r="A189">
        <v>0.989</v>
      </c>
      <c r="B189" s="309" t="s">
        <v>60</v>
      </c>
    </row>
    <row r="190" spans="1:2" ht="15.75">
      <c r="A190">
        <v>1.151</v>
      </c>
      <c r="B190" s="309" t="s">
        <v>60</v>
      </c>
    </row>
    <row r="191" spans="1:2" ht="15.75">
      <c r="A191">
        <v>1.419</v>
      </c>
      <c r="B191" s="309" t="s">
        <v>60</v>
      </c>
    </row>
    <row r="192" spans="1:2" ht="15.75">
      <c r="A192">
        <v>1.733</v>
      </c>
      <c r="B192" s="309" t="s">
        <v>60</v>
      </c>
    </row>
    <row r="193" spans="1:2" ht="15.75">
      <c r="A193">
        <v>1.938</v>
      </c>
      <c r="B193" s="309" t="s">
        <v>60</v>
      </c>
    </row>
    <row r="194" spans="1:2" ht="15.75">
      <c r="A194">
        <v>2.106</v>
      </c>
      <c r="B194" s="320" t="s">
        <v>60</v>
      </c>
    </row>
    <row r="195" spans="1:2" ht="15.75">
      <c r="A195">
        <v>94685</v>
      </c>
      <c r="B195" s="309" t="s">
        <v>61</v>
      </c>
    </row>
    <row r="196" spans="1:2" ht="15.75">
      <c r="A196">
        <v>16.725</v>
      </c>
      <c r="B196" s="309" t="s">
        <v>62</v>
      </c>
    </row>
    <row r="197" ht="15.75">
      <c r="B197" s="309" t="s">
        <v>63</v>
      </c>
    </row>
    <row r="198" ht="15.75">
      <c r="B198" s="309" t="s">
        <v>28</v>
      </c>
    </row>
    <row r="199" ht="15.75">
      <c r="B199" s="309" t="s">
        <v>64</v>
      </c>
    </row>
    <row r="200" ht="15.75">
      <c r="B200" s="309" t="s">
        <v>65</v>
      </c>
    </row>
    <row r="201" ht="15.75">
      <c r="B201" s="320" t="s">
        <v>161</v>
      </c>
    </row>
    <row r="202" spans="1:2" ht="15.75">
      <c r="A202">
        <v>48052</v>
      </c>
      <c r="B202" s="309" t="s">
        <v>162</v>
      </c>
    </row>
    <row r="203" spans="1:2" ht="15.75">
      <c r="A203">
        <v>52799</v>
      </c>
      <c r="B203" s="309" t="s">
        <v>66</v>
      </c>
    </row>
    <row r="204" spans="1:2" ht="15.75">
      <c r="A204">
        <v>52737</v>
      </c>
      <c r="B204" s="309" t="s">
        <v>66</v>
      </c>
    </row>
    <row r="205" spans="1:2" ht="15.75">
      <c r="A205">
        <v>64211</v>
      </c>
      <c r="B205" s="309" t="s">
        <v>66</v>
      </c>
    </row>
    <row r="206" spans="1:2" ht="15.75">
      <c r="A206">
        <v>54960</v>
      </c>
      <c r="B206" s="309" t="s">
        <v>66</v>
      </c>
    </row>
    <row r="207" spans="1:2" ht="15.75">
      <c r="A207">
        <v>59694</v>
      </c>
      <c r="B207" s="309" t="s">
        <v>66</v>
      </c>
    </row>
    <row r="208" spans="1:2" ht="15.75">
      <c r="A208">
        <v>58797</v>
      </c>
      <c r="B208" s="309" t="s">
        <v>66</v>
      </c>
    </row>
    <row r="209" spans="1:2" ht="15.75">
      <c r="A209">
        <v>71073</v>
      </c>
      <c r="B209" s="317" t="s">
        <v>99</v>
      </c>
    </row>
    <row r="210" spans="1:2" ht="15.75">
      <c r="A210">
        <v>0.31</v>
      </c>
      <c r="B210" s="309" t="s">
        <v>163</v>
      </c>
    </row>
    <row r="211" spans="1:2" ht="15.75">
      <c r="A211">
        <v>0.36</v>
      </c>
      <c r="B211" s="309" t="s">
        <v>164</v>
      </c>
    </row>
    <row r="212" spans="1:2" ht="15.75">
      <c r="A212">
        <v>0.33</v>
      </c>
      <c r="B212" s="309" t="s">
        <v>164</v>
      </c>
    </row>
    <row r="213" spans="1:2" ht="15.75">
      <c r="A213">
        <v>0.49</v>
      </c>
      <c r="B213" s="309" t="s">
        <v>164</v>
      </c>
    </row>
    <row r="214" spans="1:2" ht="15.75">
      <c r="A214">
        <v>0.37</v>
      </c>
      <c r="B214" s="309" t="s">
        <v>164</v>
      </c>
    </row>
    <row r="215" spans="1:2" ht="15.75">
      <c r="A215">
        <v>0.46</v>
      </c>
      <c r="B215" s="309" t="s">
        <v>164</v>
      </c>
    </row>
    <row r="216" spans="1:2" ht="15.75">
      <c r="A216">
        <v>0.41</v>
      </c>
      <c r="B216" s="309" t="s">
        <v>164</v>
      </c>
    </row>
    <row r="217" spans="1:2" ht="15.75">
      <c r="A217">
        <v>0.57</v>
      </c>
      <c r="B217" s="317" t="s">
        <v>100</v>
      </c>
    </row>
    <row r="218" spans="1:2" ht="15.75">
      <c r="A218">
        <v>0.07</v>
      </c>
      <c r="B218" s="309" t="s">
        <v>165</v>
      </c>
    </row>
    <row r="219" spans="1:2" ht="15.75">
      <c r="A219">
        <v>0.07</v>
      </c>
      <c r="B219" s="309" t="s">
        <v>166</v>
      </c>
    </row>
    <row r="220" spans="1:2" ht="15.75">
      <c r="A220">
        <v>0.07</v>
      </c>
      <c r="B220" s="309" t="s">
        <v>166</v>
      </c>
    </row>
    <row r="221" spans="1:2" ht="15.75">
      <c r="A221">
        <v>0.07</v>
      </c>
      <c r="B221" s="309" t="s">
        <v>166</v>
      </c>
    </row>
    <row r="222" spans="1:2" ht="15.75">
      <c r="A222">
        <v>0.075</v>
      </c>
      <c r="B222" s="309" t="s">
        <v>166</v>
      </c>
    </row>
    <row r="223" spans="1:2" ht="15.75">
      <c r="A223">
        <v>0.075</v>
      </c>
      <c r="B223" s="309" t="s">
        <v>166</v>
      </c>
    </row>
    <row r="224" spans="1:2" ht="15.75">
      <c r="A224">
        <v>0.075</v>
      </c>
      <c r="B224" s="309" t="s">
        <v>166</v>
      </c>
    </row>
    <row r="225" spans="1:2" ht="15.75">
      <c r="A225">
        <v>0.075</v>
      </c>
      <c r="B225" s="317" t="s">
        <v>101</v>
      </c>
    </row>
    <row r="226" ht="15.75">
      <c r="B226" s="309" t="s">
        <v>67</v>
      </c>
    </row>
    <row r="227" ht="15.75">
      <c r="B227" s="309" t="s">
        <v>68</v>
      </c>
    </row>
    <row r="228" ht="15.75">
      <c r="B228" s="309" t="s">
        <v>161</v>
      </c>
    </row>
    <row r="229" spans="1:2" ht="15.75">
      <c r="A229">
        <v>0.14</v>
      </c>
      <c r="B229" s="309" t="s">
        <v>69</v>
      </c>
    </row>
    <row r="230" ht="15.75">
      <c r="B230" s="309" t="s">
        <v>70</v>
      </c>
    </row>
    <row r="231" ht="15.75">
      <c r="B231" s="309" t="s">
        <v>310</v>
      </c>
    </row>
    <row r="232" spans="1:2" ht="15.75">
      <c r="A232">
        <v>1</v>
      </c>
      <c r="B232" s="309" t="s">
        <v>71</v>
      </c>
    </row>
    <row r="233" ht="15.75">
      <c r="B233" s="309" t="s">
        <v>161</v>
      </c>
    </row>
    <row r="234" ht="15.75">
      <c r="B234" s="309" t="s">
        <v>161</v>
      </c>
    </row>
    <row r="235" ht="15.75">
      <c r="B235" s="309" t="s">
        <v>161</v>
      </c>
    </row>
    <row r="236" spans="1:2" ht="15.75">
      <c r="A236" t="s">
        <v>432</v>
      </c>
      <c r="B236" s="309" t="s">
        <v>167</v>
      </c>
    </row>
    <row r="237" spans="1:2" ht="15.75">
      <c r="A237" t="s">
        <v>433</v>
      </c>
      <c r="B237" s="309" t="s">
        <v>168</v>
      </c>
    </row>
    <row r="238" spans="1:2" ht="15.75">
      <c r="A238" t="s">
        <v>394</v>
      </c>
      <c r="B238" s="309" t="s">
        <v>169</v>
      </c>
    </row>
    <row r="239" spans="1:2" ht="15.75">
      <c r="A239" t="s">
        <v>387</v>
      </c>
      <c r="B239" s="309" t="s">
        <v>72</v>
      </c>
    </row>
    <row r="240" spans="1:2" ht="15.75">
      <c r="A240" s="35">
        <v>37736</v>
      </c>
      <c r="B240" s="309" t="s">
        <v>73</v>
      </c>
    </row>
    <row r="241" ht="15.75">
      <c r="B241" s="314" t="s">
        <v>102</v>
      </c>
    </row>
    <row r="242" spans="1:2" ht="15.75">
      <c r="A242" t="s">
        <v>388</v>
      </c>
      <c r="B242" s="309" t="s">
        <v>74</v>
      </c>
    </row>
    <row r="243" ht="15.75">
      <c r="B243" s="314" t="s">
        <v>170</v>
      </c>
    </row>
    <row r="244" spans="1:2" ht="15.75">
      <c r="A244" t="s">
        <v>398</v>
      </c>
      <c r="B244" s="309" t="s">
        <v>75</v>
      </c>
    </row>
    <row r="245" spans="1:2" ht="15.75">
      <c r="A245">
        <v>1</v>
      </c>
      <c r="B245" s="322" t="s">
        <v>171</v>
      </c>
    </row>
    <row r="246" spans="1:2" ht="15.75">
      <c r="A246">
        <v>0</v>
      </c>
      <c r="B246" s="315" t="s">
        <v>161</v>
      </c>
    </row>
    <row r="247" spans="1:2" ht="15.75">
      <c r="A247">
        <v>0</v>
      </c>
      <c r="B247" s="315" t="s">
        <v>161</v>
      </c>
    </row>
    <row r="248" ht="15.75">
      <c r="B248" s="315" t="s">
        <v>161</v>
      </c>
    </row>
    <row r="249" ht="15.75">
      <c r="B249" s="315" t="s">
        <v>161</v>
      </c>
    </row>
    <row r="250" ht="15.75">
      <c r="B250" s="315" t="s">
        <v>161</v>
      </c>
    </row>
    <row r="251" ht="15.75">
      <c r="B251" s="315" t="s">
        <v>161</v>
      </c>
    </row>
    <row r="252" ht="15.75">
      <c r="B252" s="315" t="s">
        <v>161</v>
      </c>
    </row>
    <row r="253" ht="15.75">
      <c r="B253" s="315" t="s">
        <v>161</v>
      </c>
    </row>
    <row r="254" ht="15.75">
      <c r="B254" s="322" t="s">
        <v>161</v>
      </c>
    </row>
    <row r="255" spans="1:2" ht="15.75">
      <c r="A255" s="35">
        <v>37652</v>
      </c>
      <c r="B255" s="323" t="s">
        <v>172</v>
      </c>
    </row>
    <row r="256" ht="15.75">
      <c r="B256" s="315" t="s">
        <v>161</v>
      </c>
    </row>
    <row r="257" ht="15.75">
      <c r="B257" s="315" t="s">
        <v>161</v>
      </c>
    </row>
    <row r="258" ht="15.75">
      <c r="B258" s="315" t="s">
        <v>161</v>
      </c>
    </row>
    <row r="259" ht="15.75">
      <c r="B259" s="315" t="s">
        <v>161</v>
      </c>
    </row>
    <row r="260" ht="15.75">
      <c r="B260" s="315" t="s">
        <v>161</v>
      </c>
    </row>
    <row r="261" ht="15.75">
      <c r="B261" s="315" t="s">
        <v>161</v>
      </c>
    </row>
    <row r="262" ht="15.75">
      <c r="B262" s="315" t="s">
        <v>161</v>
      </c>
    </row>
    <row r="263" ht="15.75">
      <c r="B263" s="315" t="s">
        <v>161</v>
      </c>
    </row>
    <row r="264" ht="15.75">
      <c r="B264" s="315" t="s">
        <v>161</v>
      </c>
    </row>
    <row r="265" ht="15.75">
      <c r="B265" s="315" t="s">
        <v>161</v>
      </c>
    </row>
    <row r="266" ht="15.75">
      <c r="B266" s="315" t="s">
        <v>161</v>
      </c>
    </row>
    <row r="267" ht="15.75">
      <c r="B267" s="315" t="s">
        <v>161</v>
      </c>
    </row>
    <row r="268" ht="15.75">
      <c r="B268" s="315" t="s">
        <v>161</v>
      </c>
    </row>
    <row r="269" ht="15.75">
      <c r="B269" s="322" t="s">
        <v>161</v>
      </c>
    </row>
    <row r="270" spans="1:2" ht="15.75">
      <c r="A270">
        <v>1</v>
      </c>
      <c r="B270" s="315" t="s">
        <v>173</v>
      </c>
    </row>
    <row r="271" spans="1:2" ht="15.75">
      <c r="A271">
        <v>2003</v>
      </c>
      <c r="B271" s="322" t="s">
        <v>174</v>
      </c>
    </row>
    <row r="272" ht="15.75">
      <c r="B272" s="315" t="s">
        <v>161</v>
      </c>
    </row>
    <row r="273" ht="15.75">
      <c r="B273" s="315" t="s">
        <v>161</v>
      </c>
    </row>
    <row r="274" ht="15.75">
      <c r="B274" s="315" t="s">
        <v>161</v>
      </c>
    </row>
    <row r="275" ht="15.75">
      <c r="B275" s="315" t="s">
        <v>161</v>
      </c>
    </row>
    <row r="276" spans="1:2" ht="15.75">
      <c r="A276">
        <v>130</v>
      </c>
      <c r="B276" s="315" t="s">
        <v>175</v>
      </c>
    </row>
    <row r="277" ht="15.75">
      <c r="B277" s="315" t="s">
        <v>161</v>
      </c>
    </row>
    <row r="278" ht="15.75">
      <c r="B278" s="315" t="s">
        <v>161</v>
      </c>
    </row>
    <row r="279" spans="1:2" ht="15.75">
      <c r="A279">
        <v>5331</v>
      </c>
      <c r="B279" s="315" t="s">
        <v>176</v>
      </c>
    </row>
    <row r="280" spans="1:2" ht="15.75">
      <c r="A280" t="s">
        <v>399</v>
      </c>
      <c r="B280" s="315" t="s">
        <v>177</v>
      </c>
    </row>
    <row r="281" ht="15.75">
      <c r="B281" s="314" t="s">
        <v>178</v>
      </c>
    </row>
    <row r="282" ht="15.75">
      <c r="B282" s="314" t="s">
        <v>179</v>
      </c>
    </row>
    <row r="283" ht="15.75">
      <c r="B283" s="315" t="s">
        <v>161</v>
      </c>
    </row>
    <row r="284" ht="15.75">
      <c r="B284" s="315" t="s">
        <v>161</v>
      </c>
    </row>
    <row r="285" ht="15.75">
      <c r="B285" s="315" t="s">
        <v>161</v>
      </c>
    </row>
    <row r="286" spans="1:2" ht="15.75">
      <c r="A286">
        <v>0.9094</v>
      </c>
      <c r="B286" s="322" t="s">
        <v>180</v>
      </c>
    </row>
    <row r="287" ht="15.75">
      <c r="B287" s="315" t="s">
        <v>161</v>
      </c>
    </row>
    <row r="288" ht="15.75">
      <c r="B288" s="315" t="s">
        <v>161</v>
      </c>
    </row>
    <row r="289" ht="15.75">
      <c r="B289" s="315" t="s">
        <v>161</v>
      </c>
    </row>
    <row r="290" ht="15.75">
      <c r="B290" s="315" t="s">
        <v>161</v>
      </c>
    </row>
    <row r="291" ht="15.75">
      <c r="B291" s="315" t="s">
        <v>161</v>
      </c>
    </row>
    <row r="292" ht="15.75">
      <c r="B292" s="315" t="s">
        <v>161</v>
      </c>
    </row>
    <row r="293" ht="15.75">
      <c r="B293" s="315" t="s">
        <v>161</v>
      </c>
    </row>
    <row r="294" ht="15.75">
      <c r="B294" s="315" t="s">
        <v>161</v>
      </c>
    </row>
    <row r="295" ht="15.75">
      <c r="B295" s="315" t="s">
        <v>161</v>
      </c>
    </row>
    <row r="296" ht="15.75">
      <c r="B296" s="315" t="s">
        <v>161</v>
      </c>
    </row>
    <row r="297" ht="15.75">
      <c r="B297" s="315" t="s">
        <v>161</v>
      </c>
    </row>
    <row r="298" ht="15.75">
      <c r="B298" s="315" t="s">
        <v>161</v>
      </c>
    </row>
    <row r="299" ht="15.75">
      <c r="B299" s="315" t="s">
        <v>161</v>
      </c>
    </row>
    <row r="300" ht="15.75">
      <c r="B300" s="315" t="s">
        <v>161</v>
      </c>
    </row>
    <row r="301" ht="15.75">
      <c r="B301" s="315" t="s">
        <v>161</v>
      </c>
    </row>
    <row r="302" ht="15.75">
      <c r="B302" s="315" t="s">
        <v>161</v>
      </c>
    </row>
    <row r="303" ht="15.75">
      <c r="B303" s="315" t="s">
        <v>161</v>
      </c>
    </row>
    <row r="304" ht="15.75">
      <c r="B304" s="315" t="s">
        <v>161</v>
      </c>
    </row>
    <row r="305" ht="15.75">
      <c r="B305" s="315" t="s">
        <v>161</v>
      </c>
    </row>
    <row r="306" ht="15.75">
      <c r="B306" s="315" t="s">
        <v>161</v>
      </c>
    </row>
    <row r="307" ht="15.75">
      <c r="B307" s="315" t="s">
        <v>161</v>
      </c>
    </row>
    <row r="308" ht="15.75">
      <c r="B308" s="315" t="s">
        <v>161</v>
      </c>
    </row>
    <row r="309" ht="15.75">
      <c r="B309" s="315" t="s">
        <v>161</v>
      </c>
    </row>
    <row r="310" ht="15.75">
      <c r="B310" s="315" t="s">
        <v>161</v>
      </c>
    </row>
    <row r="311" ht="15.75">
      <c r="B311" s="315" t="s">
        <v>161</v>
      </c>
    </row>
    <row r="312" ht="15.75">
      <c r="B312" s="315" t="s">
        <v>161</v>
      </c>
    </row>
    <row r="313" ht="15.75">
      <c r="B313" s="315" t="s">
        <v>161</v>
      </c>
    </row>
    <row r="314" ht="15.75">
      <c r="B314" s="322" t="s">
        <v>161</v>
      </c>
    </row>
    <row r="315" spans="1:2" ht="15.75">
      <c r="A315">
        <v>2220</v>
      </c>
      <c r="B315" s="315" t="s">
        <v>181</v>
      </c>
    </row>
    <row r="316" spans="1:2" ht="15.75">
      <c r="A316">
        <v>2612</v>
      </c>
      <c r="B316" s="315" t="s">
        <v>182</v>
      </c>
    </row>
    <row r="317" spans="1:2" ht="15.75">
      <c r="A317">
        <v>2390</v>
      </c>
      <c r="B317" s="315" t="s">
        <v>182</v>
      </c>
    </row>
    <row r="318" spans="1:2" ht="15.75">
      <c r="A318">
        <v>3529</v>
      </c>
      <c r="B318" s="315" t="s">
        <v>182</v>
      </c>
    </row>
    <row r="319" spans="1:2" ht="15.75">
      <c r="A319">
        <v>2625</v>
      </c>
      <c r="B319" s="315" t="s">
        <v>182</v>
      </c>
    </row>
    <row r="320" spans="1:2" ht="15.75">
      <c r="A320">
        <v>3207</v>
      </c>
      <c r="B320" s="315" t="s">
        <v>182</v>
      </c>
    </row>
    <row r="321" spans="1:2" ht="15.75">
      <c r="A321">
        <v>2877</v>
      </c>
      <c r="B321" s="315" t="s">
        <v>182</v>
      </c>
    </row>
    <row r="322" spans="1:2" ht="15.75">
      <c r="A322">
        <v>4010</v>
      </c>
      <c r="B322" s="322" t="s">
        <v>183</v>
      </c>
    </row>
    <row r="323" spans="1:2" ht="15.75">
      <c r="A323">
        <v>1390.97</v>
      </c>
      <c r="B323" s="315" t="s">
        <v>184</v>
      </c>
    </row>
    <row r="324" spans="1:2" ht="15.75">
      <c r="A324">
        <v>1614.96</v>
      </c>
      <c r="B324" s="315" t="s">
        <v>185</v>
      </c>
    </row>
    <row r="325" spans="1:2" ht="15.75">
      <c r="A325">
        <v>1478.73</v>
      </c>
      <c r="B325" s="315" t="s">
        <v>185</v>
      </c>
    </row>
    <row r="326" spans="1:2" ht="15.75">
      <c r="A326">
        <v>2191.77</v>
      </c>
      <c r="B326" s="315" t="s">
        <v>185</v>
      </c>
    </row>
    <row r="327" spans="1:2" ht="15.75">
      <c r="A327">
        <v>1653.16</v>
      </c>
      <c r="B327" s="315" t="s">
        <v>185</v>
      </c>
    </row>
    <row r="328" spans="1:2" ht="15.75">
      <c r="A328">
        <v>2047.92</v>
      </c>
      <c r="B328" s="315" t="s">
        <v>185</v>
      </c>
    </row>
    <row r="329" spans="1:2" ht="15.75">
      <c r="A329">
        <v>1817.94</v>
      </c>
      <c r="B329" s="315" t="s">
        <v>185</v>
      </c>
    </row>
    <row r="330" spans="1:2" ht="15.75">
      <c r="A330">
        <v>2514.84</v>
      </c>
      <c r="B330" s="322" t="s">
        <v>186</v>
      </c>
    </row>
    <row r="331" spans="1:2" ht="15.75">
      <c r="A331" s="35">
        <v>37736</v>
      </c>
      <c r="B331" s="321" t="s">
        <v>76</v>
      </c>
    </row>
    <row r="332" ht="15.75">
      <c r="B332" s="315" t="s">
        <v>161</v>
      </c>
    </row>
    <row r="333" ht="15.75">
      <c r="B333" s="315" t="s">
        <v>161</v>
      </c>
    </row>
    <row r="334" ht="15.75">
      <c r="B334" s="315" t="s">
        <v>161</v>
      </c>
    </row>
    <row r="335" ht="15.75">
      <c r="B335" s="315" t="s">
        <v>161</v>
      </c>
    </row>
    <row r="336" ht="15.75">
      <c r="B336" s="315" t="s">
        <v>161</v>
      </c>
    </row>
    <row r="337" ht="15.75">
      <c r="B337" s="315" t="s">
        <v>161</v>
      </c>
    </row>
    <row r="338" ht="15.75">
      <c r="B338" s="315" t="s">
        <v>161</v>
      </c>
    </row>
    <row r="339" ht="15.75">
      <c r="B339" s="315" t="s">
        <v>161</v>
      </c>
    </row>
    <row r="340" ht="15.75">
      <c r="B340" s="315" t="s">
        <v>161</v>
      </c>
    </row>
    <row r="341" ht="15.75">
      <c r="B341" s="315" t="s">
        <v>161</v>
      </c>
    </row>
    <row r="342" ht="15.75">
      <c r="B342" s="315" t="s">
        <v>161</v>
      </c>
    </row>
    <row r="343" ht="15.75">
      <c r="B343" s="315" t="s">
        <v>161</v>
      </c>
    </row>
    <row r="344" ht="15.75">
      <c r="B344" s="315" t="s">
        <v>161</v>
      </c>
    </row>
    <row r="345" ht="15.75">
      <c r="B345" s="315" t="s">
        <v>161</v>
      </c>
    </row>
    <row r="346" ht="15.75">
      <c r="B346" s="322" t="s">
        <v>161</v>
      </c>
    </row>
    <row r="347" spans="1:2" ht="15.75">
      <c r="A347">
        <v>3.435</v>
      </c>
      <c r="B347" s="315" t="s">
        <v>187</v>
      </c>
    </row>
    <row r="348" ht="15.75">
      <c r="B348" s="315" t="s">
        <v>188</v>
      </c>
    </row>
    <row r="349" ht="15.75">
      <c r="B349" s="315" t="s">
        <v>189</v>
      </c>
    </row>
    <row r="350" ht="15.75">
      <c r="B350" s="315" t="s">
        <v>190</v>
      </c>
    </row>
    <row r="351" ht="15.75">
      <c r="B351" s="315" t="s">
        <v>191</v>
      </c>
    </row>
    <row r="352" ht="15.75">
      <c r="B352" s="315" t="s">
        <v>192</v>
      </c>
    </row>
    <row r="353" ht="15.75">
      <c r="B353" s="315" t="s">
        <v>193</v>
      </c>
    </row>
    <row r="354" spans="1:2" ht="15.75">
      <c r="A354">
        <v>0.007</v>
      </c>
      <c r="B354" s="315" t="s">
        <v>194</v>
      </c>
    </row>
    <row r="355" ht="15.75">
      <c r="B355" s="315" t="s">
        <v>195</v>
      </c>
    </row>
    <row r="356" spans="1:2" ht="15.75">
      <c r="A356">
        <v>0.168</v>
      </c>
      <c r="B356" s="315" t="s">
        <v>196</v>
      </c>
    </row>
    <row r="357" ht="15.75">
      <c r="B357" s="315" t="s">
        <v>197</v>
      </c>
    </row>
    <row r="358" spans="1:2" ht="15.75">
      <c r="A358" t="s">
        <v>398</v>
      </c>
      <c r="B358" s="315" t="s">
        <v>198</v>
      </c>
    </row>
    <row r="359" ht="15.75">
      <c r="B359" s="315" t="s">
        <v>199</v>
      </c>
    </row>
    <row r="360" ht="15.75">
      <c r="B360" s="315" t="s">
        <v>200</v>
      </c>
    </row>
    <row r="361" ht="15.75">
      <c r="B361" s="315" t="s">
        <v>201</v>
      </c>
    </row>
    <row r="362" ht="15.75">
      <c r="B362" s="315" t="s">
        <v>202</v>
      </c>
    </row>
    <row r="363" ht="15.75">
      <c r="B363" s="315" t="s">
        <v>203</v>
      </c>
    </row>
    <row r="364" spans="1:2" ht="15.75">
      <c r="A364">
        <v>2.313</v>
      </c>
      <c r="B364" s="315" t="s">
        <v>204</v>
      </c>
    </row>
    <row r="365" ht="15.75">
      <c r="B365" s="322" t="s">
        <v>205</v>
      </c>
    </row>
    <row r="366" ht="15.75">
      <c r="B366" s="315" t="s">
        <v>161</v>
      </c>
    </row>
    <row r="367" ht="15.75">
      <c r="B367" s="315" t="s">
        <v>161</v>
      </c>
    </row>
    <row r="368" ht="15.75">
      <c r="B368" s="315" t="s">
        <v>161</v>
      </c>
    </row>
    <row r="369" ht="15.75">
      <c r="B369" s="315" t="s">
        <v>161</v>
      </c>
    </row>
    <row r="370" ht="15.75">
      <c r="B370" s="315" t="s">
        <v>161</v>
      </c>
    </row>
    <row r="371" ht="15.75">
      <c r="B371" s="315" t="s">
        <v>161</v>
      </c>
    </row>
    <row r="372" ht="15.75">
      <c r="B372" s="315" t="s">
        <v>161</v>
      </c>
    </row>
    <row r="373" ht="15.75">
      <c r="B373" s="315" t="s">
        <v>161</v>
      </c>
    </row>
    <row r="374" ht="15.75">
      <c r="B374" s="315" t="s">
        <v>161</v>
      </c>
    </row>
    <row r="375" ht="15.75">
      <c r="B375" s="315" t="s">
        <v>161</v>
      </c>
    </row>
    <row r="376" ht="15.75">
      <c r="B376" s="315" t="s">
        <v>161</v>
      </c>
    </row>
    <row r="377" ht="15.75">
      <c r="B377" s="315" t="s">
        <v>161</v>
      </c>
    </row>
    <row r="378" ht="15.75">
      <c r="B378" s="315" t="s">
        <v>161</v>
      </c>
    </row>
    <row r="379" ht="15.75">
      <c r="B379" s="315" t="s">
        <v>161</v>
      </c>
    </row>
    <row r="380" ht="15.75">
      <c r="B380" s="315" t="s">
        <v>161</v>
      </c>
    </row>
    <row r="381" ht="15.75">
      <c r="B381" s="315" t="s">
        <v>161</v>
      </c>
    </row>
    <row r="382" ht="15.75">
      <c r="B382" s="315" t="s">
        <v>161</v>
      </c>
    </row>
    <row r="383" ht="15.75">
      <c r="B383" s="315" t="s">
        <v>161</v>
      </c>
    </row>
    <row r="384" ht="15.75">
      <c r="B384" s="315" t="s">
        <v>161</v>
      </c>
    </row>
    <row r="385" ht="15.75">
      <c r="B385" s="315" t="s">
        <v>161</v>
      </c>
    </row>
    <row r="386" ht="15.75">
      <c r="B386" s="315" t="s">
        <v>161</v>
      </c>
    </row>
    <row r="387" ht="15.75">
      <c r="B387" s="315" t="s">
        <v>161</v>
      </c>
    </row>
    <row r="388" ht="15.75">
      <c r="B388" s="315" t="s">
        <v>161</v>
      </c>
    </row>
    <row r="389" ht="15.75">
      <c r="B389" s="315" t="s">
        <v>161</v>
      </c>
    </row>
    <row r="390" ht="15.75">
      <c r="B390" s="315" t="s">
        <v>161</v>
      </c>
    </row>
    <row r="391" ht="15.75">
      <c r="B391" s="315" t="s">
        <v>161</v>
      </c>
    </row>
    <row r="392" ht="15.75">
      <c r="B392" s="315" t="s">
        <v>161</v>
      </c>
    </row>
    <row r="393" ht="15.75">
      <c r="B393" s="315" t="s">
        <v>161</v>
      </c>
    </row>
    <row r="394" ht="15.75">
      <c r="B394" s="315" t="s">
        <v>161</v>
      </c>
    </row>
    <row r="395" ht="15.75">
      <c r="B395" s="315" t="s">
        <v>161</v>
      </c>
    </row>
    <row r="396" ht="15.75">
      <c r="B396" s="315" t="s">
        <v>161</v>
      </c>
    </row>
    <row r="397" ht="15.75">
      <c r="B397" s="315" t="s">
        <v>161</v>
      </c>
    </row>
    <row r="398" ht="15.75">
      <c r="B398" s="315" t="s">
        <v>161</v>
      </c>
    </row>
    <row r="399" ht="15.75">
      <c r="B399" s="315" t="s">
        <v>161</v>
      </c>
    </row>
    <row r="400" ht="15.75">
      <c r="B400" s="322" t="s">
        <v>161</v>
      </c>
    </row>
    <row r="401" spans="1:2" ht="15.75">
      <c r="A401">
        <v>25</v>
      </c>
      <c r="B401" s="321" t="s">
        <v>77</v>
      </c>
    </row>
    <row r="402" spans="1:2" ht="15.75">
      <c r="A402">
        <v>29819</v>
      </c>
      <c r="B402" s="309" t="s">
        <v>356</v>
      </c>
    </row>
    <row r="403" spans="1:2" ht="15.75">
      <c r="A403">
        <v>33521</v>
      </c>
      <c r="B403" s="309" t="s">
        <v>356</v>
      </c>
    </row>
    <row r="404" spans="1:2" ht="15.75">
      <c r="A404">
        <v>33509</v>
      </c>
      <c r="B404" s="309" t="s">
        <v>356</v>
      </c>
    </row>
    <row r="405" spans="1:2" ht="15.75">
      <c r="A405">
        <v>40785</v>
      </c>
      <c r="B405" s="309" t="s">
        <v>356</v>
      </c>
    </row>
    <row r="406" spans="1:2" ht="15.75">
      <c r="A406">
        <v>34717</v>
      </c>
      <c r="B406" s="309" t="s">
        <v>356</v>
      </c>
    </row>
    <row r="407" spans="1:2" ht="15.75">
      <c r="A407">
        <v>38470</v>
      </c>
      <c r="B407" s="309" t="s">
        <v>356</v>
      </c>
    </row>
    <row r="408" spans="1:2" ht="15.75">
      <c r="A408">
        <v>40432</v>
      </c>
      <c r="B408" s="309" t="s">
        <v>356</v>
      </c>
    </row>
    <row r="409" spans="1:2" ht="15.75">
      <c r="A409">
        <v>51394</v>
      </c>
      <c r="B409" s="309" t="s">
        <v>356</v>
      </c>
    </row>
    <row r="410" spans="1:2" ht="15.75">
      <c r="A410">
        <v>42985</v>
      </c>
      <c r="B410" s="309" t="s">
        <v>356</v>
      </c>
    </row>
    <row r="411" spans="1:2" ht="15.75">
      <c r="A411">
        <v>46112</v>
      </c>
      <c r="B411" s="309" t="s">
        <v>356</v>
      </c>
    </row>
    <row r="412" spans="1:2" ht="15.75">
      <c r="A412">
        <v>45676</v>
      </c>
      <c r="B412" s="309" t="s">
        <v>356</v>
      </c>
    </row>
    <row r="413" spans="1:2" ht="15.75">
      <c r="A413">
        <v>56556</v>
      </c>
      <c r="B413" s="320" t="s">
        <v>356</v>
      </c>
    </row>
    <row r="414" spans="1:2" ht="15.75">
      <c r="A414">
        <v>0.185</v>
      </c>
      <c r="B414" s="309" t="s">
        <v>357</v>
      </c>
    </row>
    <row r="415" spans="1:2" ht="15.75">
      <c r="A415">
        <v>0.23</v>
      </c>
      <c r="B415" s="309" t="s">
        <v>357</v>
      </c>
    </row>
    <row r="416" spans="1:2" ht="15.75">
      <c r="A416">
        <v>0.225</v>
      </c>
      <c r="B416" s="309" t="s">
        <v>357</v>
      </c>
    </row>
    <row r="417" spans="1:2" ht="15.75">
      <c r="A417">
        <v>0.35</v>
      </c>
      <c r="B417" s="309" t="s">
        <v>357</v>
      </c>
    </row>
    <row r="418" spans="1:2" ht="15.75">
      <c r="A418">
        <v>0.25</v>
      </c>
      <c r="B418" s="309" t="s">
        <v>357</v>
      </c>
    </row>
    <row r="419" spans="1:2" ht="15.75">
      <c r="A419">
        <v>0.31</v>
      </c>
      <c r="B419" s="309" t="s">
        <v>357</v>
      </c>
    </row>
    <row r="420" spans="1:2" ht="15.75">
      <c r="A420">
        <v>0.29</v>
      </c>
      <c r="B420" s="309" t="s">
        <v>357</v>
      </c>
    </row>
    <row r="421" spans="1:2" ht="15.75">
      <c r="A421">
        <v>0.43</v>
      </c>
      <c r="B421" s="309" t="s">
        <v>357</v>
      </c>
    </row>
    <row r="422" spans="1:2" ht="15.75">
      <c r="A422">
        <v>0.3</v>
      </c>
      <c r="B422" s="309" t="s">
        <v>357</v>
      </c>
    </row>
    <row r="423" spans="1:2" ht="15.75">
      <c r="A423">
        <v>0.36</v>
      </c>
      <c r="B423" s="309" t="s">
        <v>357</v>
      </c>
    </row>
    <row r="424" spans="1:2" ht="15.75">
      <c r="A424">
        <v>0.31</v>
      </c>
      <c r="B424" s="309" t="s">
        <v>357</v>
      </c>
    </row>
    <row r="425" spans="1:2" ht="15.75">
      <c r="A425">
        <v>0.45</v>
      </c>
      <c r="B425" s="320" t="s">
        <v>357</v>
      </c>
    </row>
    <row r="426" spans="1:2" ht="15.75">
      <c r="A426">
        <v>1364</v>
      </c>
      <c r="B426" s="309" t="s">
        <v>358</v>
      </c>
    </row>
    <row r="427" spans="1:2" ht="15.75">
      <c r="A427">
        <v>1696</v>
      </c>
      <c r="B427" s="309" t="s">
        <v>358</v>
      </c>
    </row>
    <row r="428" spans="1:2" ht="15.75">
      <c r="A428">
        <v>1651</v>
      </c>
      <c r="B428" s="309" t="s">
        <v>358</v>
      </c>
    </row>
    <row r="429" spans="1:2" ht="15.75">
      <c r="A429">
        <v>2612</v>
      </c>
      <c r="B429" s="309" t="s">
        <v>358</v>
      </c>
    </row>
    <row r="430" spans="1:2" ht="15.75">
      <c r="A430">
        <v>1809</v>
      </c>
      <c r="B430" s="309" t="s">
        <v>358</v>
      </c>
    </row>
    <row r="431" spans="1:2" ht="15.75">
      <c r="A431">
        <v>2026</v>
      </c>
      <c r="B431" s="309" t="s">
        <v>358</v>
      </c>
    </row>
    <row r="432" spans="1:2" ht="15.75">
      <c r="A432">
        <v>2069</v>
      </c>
      <c r="B432" s="309" t="s">
        <v>358</v>
      </c>
    </row>
    <row r="433" spans="1:2" ht="15.75">
      <c r="A433">
        <v>3179</v>
      </c>
      <c r="B433" s="309" t="s">
        <v>358</v>
      </c>
    </row>
    <row r="434" spans="1:2" ht="15.75">
      <c r="A434">
        <v>2134</v>
      </c>
      <c r="B434" s="309" t="s">
        <v>358</v>
      </c>
    </row>
    <row r="435" spans="1:2" ht="15.75">
      <c r="A435">
        <v>2575</v>
      </c>
      <c r="B435" s="309" t="s">
        <v>358</v>
      </c>
    </row>
    <row r="436" spans="1:2" ht="15.75">
      <c r="A436">
        <v>2194</v>
      </c>
      <c r="B436" s="309" t="s">
        <v>358</v>
      </c>
    </row>
    <row r="437" spans="1:2" ht="15.75">
      <c r="A437">
        <v>3213</v>
      </c>
      <c r="B437" s="320" t="s">
        <v>358</v>
      </c>
    </row>
    <row r="438" spans="1:2" ht="15.75">
      <c r="A438">
        <v>4471.422</v>
      </c>
      <c r="B438" s="309" t="s">
        <v>359</v>
      </c>
    </row>
    <row r="439" spans="1:2" ht="15.75">
      <c r="A439">
        <v>4505.702</v>
      </c>
      <c r="B439" s="309" t="s">
        <v>359</v>
      </c>
    </row>
    <row r="440" spans="1:2" ht="15.75">
      <c r="A440">
        <v>4446.908</v>
      </c>
      <c r="B440" s="309" t="s">
        <v>359</v>
      </c>
    </row>
    <row r="441" spans="1:2" ht="15.75">
      <c r="A441">
        <v>4448</v>
      </c>
      <c r="B441" s="309" t="s">
        <v>359</v>
      </c>
    </row>
    <row r="442" spans="1:2" ht="15.75">
      <c r="A442">
        <v>4450.134</v>
      </c>
      <c r="B442" s="309" t="s">
        <v>359</v>
      </c>
    </row>
    <row r="443" spans="1:2" ht="15.75">
      <c r="A443">
        <v>4448.731</v>
      </c>
      <c r="B443" s="309" t="s">
        <v>359</v>
      </c>
    </row>
    <row r="444" spans="1:2" ht="15.75">
      <c r="A444">
        <v>4453.743</v>
      </c>
      <c r="B444" s="309" t="s">
        <v>359</v>
      </c>
    </row>
    <row r="445" spans="1:2" ht="15.75">
      <c r="A445">
        <v>4457</v>
      </c>
      <c r="B445" s="309" t="s">
        <v>359</v>
      </c>
    </row>
    <row r="446" spans="1:2" ht="15.75">
      <c r="A446">
        <v>4465.877</v>
      </c>
      <c r="B446" s="309" t="s">
        <v>359</v>
      </c>
    </row>
    <row r="447" spans="1:2" ht="15.75">
      <c r="A447">
        <v>4466.336</v>
      </c>
      <c r="B447" s="309" t="s">
        <v>359</v>
      </c>
    </row>
    <row r="448" spans="1:2" ht="15.75">
      <c r="A448">
        <v>4466.664</v>
      </c>
      <c r="B448" s="309" t="s">
        <v>359</v>
      </c>
    </row>
    <row r="449" spans="1:2" ht="15.75">
      <c r="A449">
        <v>4470</v>
      </c>
      <c r="B449" s="309" t="s">
        <v>359</v>
      </c>
    </row>
    <row r="450" spans="1:2" ht="15.75">
      <c r="A450">
        <v>4470.958</v>
      </c>
      <c r="B450" s="309" t="s">
        <v>359</v>
      </c>
    </row>
    <row r="451" spans="1:2" ht="15.75">
      <c r="A451">
        <v>4466.96</v>
      </c>
      <c r="B451" s="309" t="s">
        <v>359</v>
      </c>
    </row>
    <row r="452" spans="1:2" ht="15.75">
      <c r="A452">
        <v>4457.088</v>
      </c>
      <c r="B452" s="309" t="s">
        <v>359</v>
      </c>
    </row>
    <row r="453" spans="1:2" ht="15.75">
      <c r="A453">
        <v>4453</v>
      </c>
      <c r="B453" s="309" t="s">
        <v>359</v>
      </c>
    </row>
    <row r="454" spans="1:2" ht="15.75">
      <c r="A454">
        <v>4448.04</v>
      </c>
      <c r="B454" s="309" t="s">
        <v>359</v>
      </c>
    </row>
    <row r="455" spans="1:2" ht="15.75">
      <c r="A455">
        <v>4422.645</v>
      </c>
      <c r="B455" s="309" t="s">
        <v>359</v>
      </c>
    </row>
    <row r="456" spans="1:2" ht="15.75">
      <c r="A456">
        <v>4413.963</v>
      </c>
      <c r="B456" s="309" t="s">
        <v>359</v>
      </c>
    </row>
    <row r="457" spans="1:2" ht="15.75">
      <c r="A457">
        <v>4395</v>
      </c>
      <c r="B457" s="320" t="s">
        <v>359</v>
      </c>
    </row>
    <row r="458" spans="1:2" ht="15.75">
      <c r="A458">
        <v>38.831</v>
      </c>
      <c r="B458" s="309" t="s">
        <v>360</v>
      </c>
    </row>
    <row r="459" spans="1:2" ht="15.75">
      <c r="A459">
        <v>38.893</v>
      </c>
      <c r="B459" s="309" t="s">
        <v>361</v>
      </c>
    </row>
    <row r="460" spans="1:2" ht="15.75">
      <c r="A460">
        <v>38.755</v>
      </c>
      <c r="B460" s="309" t="s">
        <v>361</v>
      </c>
    </row>
    <row r="461" spans="1:2" ht="15.75">
      <c r="A461">
        <v>39.916</v>
      </c>
      <c r="B461" s="309" t="s">
        <v>361</v>
      </c>
    </row>
    <row r="462" spans="1:2" ht="15.75">
      <c r="A462">
        <v>38.198</v>
      </c>
      <c r="B462" s="309" t="s">
        <v>361</v>
      </c>
    </row>
    <row r="463" spans="1:2" ht="15.75">
      <c r="A463">
        <v>31.558</v>
      </c>
      <c r="B463" s="309" t="s">
        <v>361</v>
      </c>
    </row>
    <row r="464" spans="1:2" ht="15.75">
      <c r="A464">
        <v>37.276</v>
      </c>
      <c r="B464" s="309" t="s">
        <v>361</v>
      </c>
    </row>
    <row r="465" spans="1:2" ht="15.75">
      <c r="A465">
        <v>39.416</v>
      </c>
      <c r="B465" s="309" t="s">
        <v>361</v>
      </c>
    </row>
    <row r="466" spans="1:2" ht="15.75">
      <c r="A466">
        <v>37.048</v>
      </c>
      <c r="B466" s="309" t="s">
        <v>361</v>
      </c>
    </row>
    <row r="467" spans="1:2" ht="15.75">
      <c r="A467">
        <v>37.269</v>
      </c>
      <c r="B467" s="309" t="s">
        <v>361</v>
      </c>
    </row>
    <row r="468" spans="1:2" ht="15.75">
      <c r="A468">
        <v>36.601</v>
      </c>
      <c r="B468" s="309" t="s">
        <v>361</v>
      </c>
    </row>
    <row r="469" spans="1:2" ht="15.75">
      <c r="A469">
        <v>37.157</v>
      </c>
      <c r="B469" s="309" t="s">
        <v>361</v>
      </c>
    </row>
    <row r="470" spans="1:2" ht="15.75">
      <c r="A470">
        <v>37.344</v>
      </c>
      <c r="B470" s="309" t="s">
        <v>361</v>
      </c>
    </row>
    <row r="471" spans="1:2" ht="15.75">
      <c r="A471">
        <v>38.172</v>
      </c>
      <c r="B471" s="309" t="s">
        <v>361</v>
      </c>
    </row>
    <row r="472" spans="1:2" ht="15.75">
      <c r="A472">
        <v>38.128</v>
      </c>
      <c r="B472" s="309" t="s">
        <v>361</v>
      </c>
    </row>
    <row r="473" spans="1:2" ht="15.75">
      <c r="A473">
        <v>37.893</v>
      </c>
      <c r="B473" s="309" t="s">
        <v>361</v>
      </c>
    </row>
    <row r="474" spans="1:2" ht="15.75">
      <c r="A474">
        <v>37.022</v>
      </c>
      <c r="B474" s="309" t="s">
        <v>361</v>
      </c>
    </row>
    <row r="475" spans="1:2" ht="15.75">
      <c r="A475">
        <v>36.142</v>
      </c>
      <c r="B475" s="309" t="s">
        <v>361</v>
      </c>
    </row>
    <row r="476" spans="1:2" ht="15.75">
      <c r="A476">
        <v>36.811</v>
      </c>
      <c r="B476" s="309" t="s">
        <v>361</v>
      </c>
    </row>
    <row r="477" spans="1:2" ht="15.75">
      <c r="A477">
        <v>37.286</v>
      </c>
      <c r="B477" s="320" t="s">
        <v>361</v>
      </c>
    </row>
    <row r="478" spans="1:2" ht="15.75">
      <c r="A478">
        <v>27.562</v>
      </c>
      <c r="B478" s="309" t="s">
        <v>362</v>
      </c>
    </row>
    <row r="479" spans="1:2" ht="15.75">
      <c r="A479">
        <v>30.375</v>
      </c>
      <c r="B479" s="309" t="s">
        <v>363</v>
      </c>
    </row>
    <row r="480" spans="1:2" ht="15.75">
      <c r="A480">
        <v>31.562</v>
      </c>
      <c r="B480" s="309" t="s">
        <v>363</v>
      </c>
    </row>
    <row r="481" spans="1:2" ht="15.75">
      <c r="A481">
        <v>29.5</v>
      </c>
      <c r="B481" s="309" t="s">
        <v>363</v>
      </c>
    </row>
    <row r="482" spans="1:2" ht="15.75">
      <c r="A482">
        <v>27.312</v>
      </c>
      <c r="B482" s="309" t="s">
        <v>363</v>
      </c>
    </row>
    <row r="483" spans="1:2" ht="15.75">
      <c r="A483">
        <v>34.531</v>
      </c>
      <c r="B483" s="309" t="s">
        <v>363</v>
      </c>
    </row>
    <row r="484" spans="1:2" ht="15.75">
      <c r="A484">
        <v>37.656</v>
      </c>
      <c r="B484" s="309" t="s">
        <v>363</v>
      </c>
    </row>
    <row r="485" spans="1:2" ht="15.75">
      <c r="A485">
        <v>40.719</v>
      </c>
      <c r="B485" s="309" t="s">
        <v>363</v>
      </c>
    </row>
    <row r="486" spans="1:2" ht="15.75">
      <c r="A486">
        <v>43</v>
      </c>
      <c r="B486" s="309" t="s">
        <v>363</v>
      </c>
    </row>
    <row r="487" spans="1:2" ht="15.75">
      <c r="A487">
        <v>43.062</v>
      </c>
      <c r="B487" s="309" t="s">
        <v>363</v>
      </c>
    </row>
    <row r="488" spans="1:2" ht="15.75">
      <c r="A488">
        <v>46.094</v>
      </c>
      <c r="B488" s="309" t="s">
        <v>363</v>
      </c>
    </row>
    <row r="489" spans="1:2" ht="15.75">
      <c r="A489">
        <v>46</v>
      </c>
      <c r="B489" s="309" t="s">
        <v>363</v>
      </c>
    </row>
    <row r="490" spans="1:2" ht="15.75">
      <c r="A490">
        <v>42.625</v>
      </c>
      <c r="B490" s="309" t="s">
        <v>363</v>
      </c>
    </row>
    <row r="491" spans="1:2" ht="15.75">
      <c r="A491">
        <v>48.25</v>
      </c>
      <c r="B491" s="309" t="s">
        <v>363</v>
      </c>
    </row>
    <row r="492" spans="1:2" ht="15.75">
      <c r="A492">
        <v>42.25</v>
      </c>
      <c r="B492" s="309" t="s">
        <v>363</v>
      </c>
    </row>
    <row r="493" spans="1:2" ht="15.75">
      <c r="A493">
        <v>44.312</v>
      </c>
      <c r="B493" s="309" t="s">
        <v>363</v>
      </c>
    </row>
    <row r="494" spans="1:2" ht="15.75">
      <c r="A494">
        <v>47.562</v>
      </c>
      <c r="B494" s="309" t="s">
        <v>363</v>
      </c>
    </row>
    <row r="495" spans="1:2" ht="15.75">
      <c r="A495">
        <v>56.688</v>
      </c>
      <c r="B495" s="309" t="s">
        <v>363</v>
      </c>
    </row>
    <row r="496" spans="1:2" ht="15.75">
      <c r="A496">
        <v>57.5</v>
      </c>
      <c r="B496" s="309" t="s">
        <v>363</v>
      </c>
    </row>
    <row r="497" spans="1:2" ht="15.75">
      <c r="A497">
        <v>69.125</v>
      </c>
      <c r="B497" s="309" t="s">
        <v>363</v>
      </c>
    </row>
    <row r="498" spans="1:2" ht="15.75">
      <c r="A498">
        <v>54.75</v>
      </c>
      <c r="B498" s="309" t="s">
        <v>363</v>
      </c>
    </row>
    <row r="499" spans="1:2" ht="15.75">
      <c r="A499">
        <v>48.875</v>
      </c>
      <c r="B499" s="309" t="s">
        <v>363</v>
      </c>
    </row>
    <row r="500" spans="1:2" ht="15.75">
      <c r="A500">
        <v>56.5</v>
      </c>
      <c r="B500" s="309" t="s">
        <v>363</v>
      </c>
    </row>
    <row r="501" spans="1:2" ht="15.75">
      <c r="A501">
        <v>55.375</v>
      </c>
      <c r="B501" s="309" t="s">
        <v>363</v>
      </c>
    </row>
    <row r="502" spans="1:2" ht="15.75">
      <c r="A502">
        <v>58</v>
      </c>
      <c r="B502" s="309" t="s">
        <v>363</v>
      </c>
    </row>
    <row r="503" spans="1:2" ht="15.75">
      <c r="A503">
        <v>57.625</v>
      </c>
      <c r="B503" s="309" t="s">
        <v>363</v>
      </c>
    </row>
    <row r="504" spans="1:2" ht="15.75">
      <c r="A504">
        <v>54.938</v>
      </c>
      <c r="B504" s="309" t="s">
        <v>363</v>
      </c>
    </row>
    <row r="505" spans="1:2" ht="15.75">
      <c r="A505">
        <v>47.438</v>
      </c>
      <c r="B505" s="309" t="s">
        <v>363</v>
      </c>
    </row>
    <row r="506" spans="1:2" ht="15.75">
      <c r="A506">
        <v>48.125</v>
      </c>
      <c r="B506" s="309" t="s">
        <v>363</v>
      </c>
    </row>
    <row r="507" spans="1:2" ht="15.75">
      <c r="A507">
        <v>45.375</v>
      </c>
      <c r="B507" s="309" t="s">
        <v>363</v>
      </c>
    </row>
    <row r="508" spans="1:2" ht="15.75">
      <c r="A508">
        <v>52.188</v>
      </c>
      <c r="B508" s="309" t="s">
        <v>363</v>
      </c>
    </row>
    <row r="509" spans="1:2" ht="15.75">
      <c r="A509">
        <v>53.125</v>
      </c>
      <c r="B509" s="309" t="s">
        <v>363</v>
      </c>
    </row>
    <row r="510" spans="1:2" ht="15.75">
      <c r="A510">
        <v>56.8</v>
      </c>
      <c r="B510" s="309" t="s">
        <v>363</v>
      </c>
    </row>
    <row r="511" spans="1:2" ht="15.75">
      <c r="A511">
        <v>50.09</v>
      </c>
      <c r="B511" s="309" t="s">
        <v>363</v>
      </c>
    </row>
    <row r="512" spans="1:2" ht="15.75">
      <c r="A512">
        <v>50.5</v>
      </c>
      <c r="B512" s="309" t="s">
        <v>363</v>
      </c>
    </row>
    <row r="513" spans="1:2" ht="15.75">
      <c r="A513">
        <v>51.74</v>
      </c>
      <c r="B513" s="309" t="s">
        <v>363</v>
      </c>
    </row>
    <row r="514" spans="1:2" ht="15.75">
      <c r="A514">
        <v>51.75</v>
      </c>
      <c r="B514" s="309" t="s">
        <v>363</v>
      </c>
    </row>
    <row r="515" spans="1:2" ht="15.75">
      <c r="A515">
        <v>48.8</v>
      </c>
      <c r="B515" s="309" t="s">
        <v>363</v>
      </c>
    </row>
    <row r="516" spans="1:2" ht="15.75">
      <c r="A516">
        <v>55.9</v>
      </c>
      <c r="B516" s="309" t="s">
        <v>363</v>
      </c>
    </row>
    <row r="517" spans="1:2" ht="15.75">
      <c r="A517">
        <v>48.05</v>
      </c>
      <c r="B517" s="309" t="s">
        <v>363</v>
      </c>
    </row>
    <row r="518" spans="1:2" ht="15.75">
      <c r="A518">
        <v>49.5</v>
      </c>
      <c r="B518" s="309" t="s">
        <v>363</v>
      </c>
    </row>
    <row r="519" spans="1:2" ht="15.75">
      <c r="A519">
        <v>51.4</v>
      </c>
      <c r="B519" s="309" t="s">
        <v>363</v>
      </c>
    </row>
    <row r="520" spans="1:2" ht="15.75">
      <c r="A520">
        <v>55.15</v>
      </c>
      <c r="B520" s="309" t="s">
        <v>363</v>
      </c>
    </row>
    <row r="521" spans="1:2" ht="15.75">
      <c r="A521">
        <v>57.55</v>
      </c>
      <c r="B521" s="309" t="s">
        <v>363</v>
      </c>
    </row>
    <row r="522" spans="1:2" ht="15.75">
      <c r="A522">
        <v>59.98</v>
      </c>
      <c r="B522" s="309" t="s">
        <v>363</v>
      </c>
    </row>
    <row r="523" spans="1:2" ht="15.75">
      <c r="A523">
        <v>62.01</v>
      </c>
      <c r="B523" s="309" t="s">
        <v>363</v>
      </c>
    </row>
    <row r="524" spans="1:2" ht="15.75">
      <c r="A524">
        <v>61.3</v>
      </c>
      <c r="B524" s="309" t="s">
        <v>363</v>
      </c>
    </row>
    <row r="525" spans="1:2" ht="15.75">
      <c r="A525">
        <v>55.86</v>
      </c>
      <c r="B525" s="309" t="s">
        <v>363</v>
      </c>
    </row>
    <row r="526" spans="1:2" ht="15.75">
      <c r="A526">
        <v>54.1</v>
      </c>
      <c r="B526" s="309" t="s">
        <v>363</v>
      </c>
    </row>
    <row r="527" spans="1:2" ht="15.75">
      <c r="A527">
        <v>55.01</v>
      </c>
      <c r="B527" s="309" t="s">
        <v>363</v>
      </c>
    </row>
    <row r="528" spans="1:2" ht="15.75">
      <c r="A528">
        <v>49.18</v>
      </c>
      <c r="B528" s="309" t="s">
        <v>363</v>
      </c>
    </row>
    <row r="529" spans="1:2" ht="15.75">
      <c r="A529">
        <v>53.48</v>
      </c>
      <c r="B529" s="309" t="s">
        <v>363</v>
      </c>
    </row>
    <row r="530" spans="1:2" ht="15.75">
      <c r="A530">
        <v>49.24</v>
      </c>
      <c r="B530" s="309" t="s">
        <v>363</v>
      </c>
    </row>
    <row r="531" spans="1:2" ht="15.75">
      <c r="A531">
        <v>53.55</v>
      </c>
      <c r="B531" s="309" t="s">
        <v>363</v>
      </c>
    </row>
    <row r="532" spans="1:2" ht="15.75">
      <c r="A532">
        <v>53.9</v>
      </c>
      <c r="B532" s="309" t="s">
        <v>363</v>
      </c>
    </row>
    <row r="533" spans="1:2" ht="15.75">
      <c r="A533">
        <v>50.51</v>
      </c>
      <c r="B533" s="309" t="s">
        <v>363</v>
      </c>
    </row>
    <row r="534" spans="1:2" ht="15.75">
      <c r="A534">
        <v>47.8</v>
      </c>
      <c r="B534" s="309" t="s">
        <v>363</v>
      </c>
    </row>
    <row r="535" spans="1:2" ht="15.75">
      <c r="A535">
        <v>48.06</v>
      </c>
      <c r="B535" s="309" t="s">
        <v>363</v>
      </c>
    </row>
    <row r="536" spans="1:2" ht="15.75">
      <c r="A536">
        <v>52.03</v>
      </c>
      <c r="B536" s="309" t="s">
        <v>363</v>
      </c>
    </row>
    <row r="537" spans="1:2" ht="15.75">
      <c r="A537">
        <v>55</v>
      </c>
      <c r="B537" s="320" t="s">
        <v>363</v>
      </c>
    </row>
    <row r="538" ht="15.75">
      <c r="B538" s="316"/>
    </row>
  </sheetData>
  <printOptions/>
  <pageMargins left="0.75" right="0.75" top="1" bottom="1.1" header="0.5" footer="0.5"/>
  <pageSetup fitToHeight="2" horizontalDpi="180" verticalDpi="180" orientation="portrait" paperSize="39" r:id="rId1"/>
  <headerFooter alignWithMargins="0">
    <oddFooter>&amp;CPage &amp;P</oddFooter>
  </headerFooter>
  <rowBreaks count="1" manualBreakCount="1">
    <brk id="46" max="65535"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P301"/>
  <sheetViews>
    <sheetView showGridLines="0" tabSelected="1" workbookViewId="0" topLeftCell="A1">
      <pane ySplit="1" topLeftCell="BM2" activePane="bottomLeft" state="frozen"/>
      <selection pane="topLeft" activeCell="D59" sqref="D59"/>
      <selection pane="bottomLeft" activeCell="C34" sqref="C34"/>
    </sheetView>
  </sheetViews>
  <sheetFormatPr defaultColWidth="9.00390625" defaultRowHeight="12.75"/>
  <cols>
    <col min="1" max="1" width="2.25390625" style="68" customWidth="1"/>
    <col min="2" max="2" width="21.75390625" style="68" customWidth="1"/>
    <col min="3" max="3" width="10.875" style="68" customWidth="1"/>
    <col min="4" max="4" width="9.875" style="68" customWidth="1"/>
    <col min="5" max="5" width="8.75390625" style="68" customWidth="1"/>
    <col min="6" max="6" width="9.75390625" style="68" customWidth="1"/>
    <col min="7" max="7" width="10.75390625" style="68" customWidth="1"/>
    <col min="8" max="8" width="8.875" style="68" customWidth="1"/>
    <col min="9" max="9" width="9.00390625" style="68" customWidth="1"/>
    <col min="10" max="10" width="9.875" style="68" customWidth="1"/>
    <col min="11" max="11" width="9.375" style="68" customWidth="1"/>
    <col min="12" max="12" width="9.875" style="68" customWidth="1"/>
    <col min="13" max="13" width="8.625" style="68" customWidth="1"/>
    <col min="14" max="14" width="12.75390625" style="64" customWidth="1"/>
    <col min="15" max="16" width="8.875" style="64" customWidth="1"/>
    <col min="17" max="17" width="18.25390625" style="64" customWidth="1"/>
    <col min="18" max="18" width="13.75390625" style="64" customWidth="1"/>
    <col min="19" max="16384" width="8.875" style="64" customWidth="1"/>
  </cols>
  <sheetData>
    <row r="1" spans="1:13" s="53" customFormat="1" ht="15.75" customHeight="1">
      <c r="A1" s="51"/>
      <c r="B1" s="52"/>
      <c r="C1" s="52"/>
      <c r="D1" s="52"/>
      <c r="E1" s="52"/>
      <c r="F1" s="52"/>
      <c r="G1" s="52"/>
      <c r="H1" s="52"/>
      <c r="I1" s="52"/>
      <c r="J1" s="52"/>
      <c r="K1" s="52"/>
      <c r="L1" s="52"/>
      <c r="M1" s="52"/>
    </row>
    <row r="2" spans="1:13" s="55" customFormat="1" ht="11.25">
      <c r="A2" s="54"/>
      <c r="B2" s="54"/>
      <c r="C2" s="54"/>
      <c r="D2" s="54"/>
      <c r="E2" s="54"/>
      <c r="F2" s="54"/>
      <c r="G2" s="54"/>
      <c r="H2" s="54"/>
      <c r="I2" s="54"/>
      <c r="J2" s="54"/>
      <c r="K2" s="54"/>
      <c r="L2" s="54"/>
      <c r="M2" s="54"/>
    </row>
    <row r="3" spans="1:13" s="58" customFormat="1" ht="15.75">
      <c r="A3" s="56"/>
      <c r="B3" s="57" t="str">
        <f>'Company Info'!$A$236</f>
        <v>WAL-MART STORES</v>
      </c>
      <c r="C3" s="56"/>
      <c r="D3" s="56"/>
      <c r="E3" s="56"/>
      <c r="F3" s="56"/>
      <c r="G3" s="67" t="s">
        <v>385</v>
      </c>
      <c r="H3" s="288">
        <f>'Company Info'!$A$331</f>
        <v>37736</v>
      </c>
      <c r="I3" s="288">
        <f>'Company Info'!$A$331</f>
        <v>37736</v>
      </c>
      <c r="J3" s="56"/>
      <c r="K3" s="56"/>
      <c r="L3" s="277"/>
      <c r="M3" s="277"/>
    </row>
    <row r="4" spans="1:13" s="63" customFormat="1" ht="11.25">
      <c r="A4" s="59"/>
      <c r="B4" s="60" t="s">
        <v>326</v>
      </c>
      <c r="C4" s="61"/>
      <c r="D4" s="61"/>
      <c r="E4" s="174"/>
      <c r="F4" s="202" t="s">
        <v>368</v>
      </c>
      <c r="G4" s="174"/>
      <c r="H4" s="183"/>
      <c r="I4" s="260"/>
      <c r="J4" s="202" t="s">
        <v>375</v>
      </c>
      <c r="K4" s="61"/>
      <c r="L4" s="61"/>
      <c r="M4" s="61"/>
    </row>
    <row r="5" spans="2:13" ht="12">
      <c r="B5" s="67" t="s">
        <v>365</v>
      </c>
      <c r="C5" s="147" t="str">
        <f>IF('Company Info'!$A$239="S","S&amp;P",IF('Company Info'!$A$239="V","Value Line","Other"))</f>
        <v>S&amp;P</v>
      </c>
      <c r="D5" s="64"/>
      <c r="E5" s="64"/>
      <c r="F5" s="169"/>
      <c r="G5" s="67" t="s">
        <v>107</v>
      </c>
      <c r="H5" s="278">
        <f>'Company Info'!$A$240</f>
        <v>37736</v>
      </c>
      <c r="I5" s="279"/>
      <c r="J5" s="169"/>
      <c r="L5" s="201" t="s">
        <v>379</v>
      </c>
      <c r="M5" s="199">
        <f>'Company Info'!$A$92</f>
        <v>30.387</v>
      </c>
    </row>
    <row r="6" spans="2:13" ht="12">
      <c r="B6" s="67" t="s">
        <v>108</v>
      </c>
      <c r="C6" s="147" t="str">
        <f>'Company Info'!$A$237</f>
        <v>WMT</v>
      </c>
      <c r="D6" s="64"/>
      <c r="E6" s="64"/>
      <c r="F6" s="169"/>
      <c r="G6" s="67" t="s">
        <v>111</v>
      </c>
      <c r="H6" s="148">
        <f>'Company Info'!$A$91</f>
        <v>55</v>
      </c>
      <c r="I6" s="64"/>
      <c r="J6" s="169"/>
      <c r="L6" s="67" t="s">
        <v>377</v>
      </c>
      <c r="M6" s="200">
        <f>'Company Info'!$A$91/'Company Info'!$A$70</f>
        <v>6.977039198274769</v>
      </c>
    </row>
    <row r="7" spans="2:13" ht="12">
      <c r="B7" s="67" t="s">
        <v>109</v>
      </c>
      <c r="C7" s="147" t="str">
        <f>'Company Info'!$A$238</f>
        <v>NYSE</v>
      </c>
      <c r="D7" s="64"/>
      <c r="E7" s="64"/>
      <c r="F7" s="169"/>
      <c r="G7" s="67" t="s">
        <v>374</v>
      </c>
      <c r="H7" s="149">
        <f>'Company Info'!$A$97</f>
        <v>43.72</v>
      </c>
      <c r="I7" s="64"/>
      <c r="J7" s="169"/>
      <c r="L7" s="67" t="s">
        <v>378</v>
      </c>
      <c r="M7" s="200">
        <f>'Company Info'!$A$91/'Company Info'!$A$194</f>
        <v>26.115859449192783</v>
      </c>
    </row>
    <row r="8" spans="2:14" ht="12">
      <c r="B8" s="67" t="s">
        <v>110</v>
      </c>
      <c r="C8" s="285" t="str">
        <f>'Company Info'!$A$244</f>
        <v>General Merchandise Stores</v>
      </c>
      <c r="D8" s="285"/>
      <c r="E8" s="286"/>
      <c r="F8" s="169"/>
      <c r="G8" s="67" t="s">
        <v>373</v>
      </c>
      <c r="H8" s="197">
        <f>'Company Info'!$A$96</f>
        <v>59.3</v>
      </c>
      <c r="I8" s="64"/>
      <c r="J8" s="169"/>
      <c r="L8" s="67" t="s">
        <v>376</v>
      </c>
      <c r="M8" s="200">
        <f>'Company Info'!$A$91/(SUM(E95:E98)/'Company Info'!$A$98)</f>
        <v>0.9885532708445797</v>
      </c>
      <c r="N8" s="194"/>
    </row>
    <row r="9" spans="2:14" ht="12">
      <c r="B9" s="80" t="s">
        <v>370</v>
      </c>
      <c r="C9" s="88">
        <f>'Company Info'!$A$279</f>
        <v>5331</v>
      </c>
      <c r="D9" s="64"/>
      <c r="E9" s="64"/>
      <c r="F9" s="169"/>
      <c r="G9" s="67" t="s">
        <v>371</v>
      </c>
      <c r="H9" s="150">
        <f>'Company Info'!$A$92</f>
        <v>30.387</v>
      </c>
      <c r="I9" s="64"/>
      <c r="J9" s="169"/>
      <c r="L9" s="67" t="s">
        <v>389</v>
      </c>
      <c r="M9" s="256">
        <f>'Company Info'!$A$92/(K50*100)</f>
        <v>4.726866666666667</v>
      </c>
      <c r="N9" s="195"/>
    </row>
    <row r="10" spans="2:13" ht="12">
      <c r="B10" s="67" t="s">
        <v>366</v>
      </c>
      <c r="C10" s="184" t="str">
        <f>IF(SUM(E95:E98)&lt;500,"Small",IF(SUM(E95:E98)&gt;5000,"Large","Mid-sized"))</f>
        <v>Large</v>
      </c>
      <c r="D10" s="64"/>
      <c r="E10" s="64"/>
      <c r="F10" s="169"/>
      <c r="G10" s="67" t="s">
        <v>372</v>
      </c>
      <c r="H10" s="148">
        <f>'Company Info'!$A$93</f>
        <v>0.36</v>
      </c>
      <c r="I10" s="64"/>
      <c r="J10" s="169"/>
      <c r="L10" s="67" t="s">
        <v>390</v>
      </c>
      <c r="M10" s="256">
        <f>'Company Info'!$A$92/('Company Info'!$A$229*100)</f>
        <v>2.1704999999999997</v>
      </c>
    </row>
    <row r="11" spans="2:13" ht="12">
      <c r="B11" s="67" t="s">
        <v>315</v>
      </c>
      <c r="C11" s="192">
        <f>IF('Company Info'!$A$286=0,"n/a",'Company Info'!$A$286)</f>
        <v>0.9094</v>
      </c>
      <c r="D11" s="64"/>
      <c r="E11" s="64"/>
      <c r="F11" s="169"/>
      <c r="G11" s="80" t="s">
        <v>106</v>
      </c>
      <c r="H11" s="185">
        <f>'Company Info'!$A$354</f>
        <v>0.007</v>
      </c>
      <c r="I11" s="64"/>
      <c r="J11" s="169"/>
      <c r="L11" s="267" t="s">
        <v>391</v>
      </c>
      <c r="M11" s="269">
        <f>IF('Company Info'!A157=0,"n/a",'Company Info'!A155/'Company Info'!A157)</f>
        <v>0.9345739951559003</v>
      </c>
    </row>
    <row r="12" spans="2:13" ht="12">
      <c r="B12" s="67" t="s">
        <v>316</v>
      </c>
      <c r="C12" s="122" t="str">
        <f>IF('Company Info'!$A$280=0,"n/a",'Company Info'!$A$280)</f>
        <v>A+ </v>
      </c>
      <c r="D12" s="64"/>
      <c r="E12" s="64"/>
      <c r="F12" s="169"/>
      <c r="G12" s="64"/>
      <c r="H12" s="64"/>
      <c r="I12" s="64"/>
      <c r="J12" s="169"/>
      <c r="L12" s="267" t="s">
        <v>392</v>
      </c>
      <c r="M12" s="269">
        <f>IF('Company Info'!A157=0,"n/a",('Company Info'!A155-'Company Info'!A154)/'Company Info'!A157)</f>
        <v>0.17144433884170832</v>
      </c>
    </row>
    <row r="13" spans="2:13" ht="12">
      <c r="B13" s="171" t="s">
        <v>367</v>
      </c>
      <c r="C13" s="280">
        <f>VALUE(CONCATENATE('Company Info'!A232,"/",'Company Info'!A94))</f>
        <v>36892</v>
      </c>
      <c r="D13" s="280"/>
      <c r="E13" s="66"/>
      <c r="F13" s="170"/>
      <c r="G13" s="66"/>
      <c r="H13" s="66"/>
      <c r="I13" s="66"/>
      <c r="J13" s="170"/>
      <c r="K13" s="66"/>
      <c r="L13" s="268" t="s">
        <v>393</v>
      </c>
      <c r="M13" s="270">
        <f>IF(J71="n/a",AVERAGE(H36:L36),(1-AVERAGE(J66:J70))*AVERAGE(H36:L36))</f>
        <v>0.16735707886214318</v>
      </c>
    </row>
    <row r="14" spans="2:13" ht="12">
      <c r="B14" s="274" t="s">
        <v>395</v>
      </c>
      <c r="C14" s="272"/>
      <c r="D14" s="272"/>
      <c r="E14" s="272"/>
      <c r="F14" s="272"/>
      <c r="G14" s="272"/>
      <c r="H14" s="272"/>
      <c r="I14" s="272"/>
      <c r="J14" s="273" t="s">
        <v>381</v>
      </c>
      <c r="K14" s="272"/>
      <c r="L14" s="272"/>
      <c r="M14" s="273" t="s">
        <v>380</v>
      </c>
    </row>
    <row r="15" spans="2:12" ht="12">
      <c r="B15" s="64"/>
      <c r="C15" s="64"/>
      <c r="D15" s="64"/>
      <c r="E15" s="64"/>
      <c r="F15" s="64"/>
      <c r="G15" s="64"/>
      <c r="H15" s="64"/>
      <c r="I15" s="64"/>
      <c r="J15" s="64"/>
      <c r="K15" s="64"/>
      <c r="L15" s="64"/>
    </row>
    <row r="16" spans="2:12" ht="12">
      <c r="B16" s="64"/>
      <c r="C16" s="64"/>
      <c r="D16" s="64"/>
      <c r="E16" s="64"/>
      <c r="F16" s="64"/>
      <c r="G16" s="64"/>
      <c r="H16" s="64"/>
      <c r="I16" s="64"/>
      <c r="J16" s="64"/>
      <c r="K16" s="64"/>
      <c r="L16" s="64"/>
    </row>
    <row r="17" spans="2:13" ht="11.25" customHeight="1">
      <c r="B17" s="62" t="s">
        <v>313</v>
      </c>
      <c r="C17" s="61"/>
      <c r="D17" s="61"/>
      <c r="E17" s="61"/>
      <c r="F17" s="97"/>
      <c r="G17" s="97"/>
      <c r="H17" s="97"/>
      <c r="I17" s="191" t="s">
        <v>331</v>
      </c>
      <c r="J17" s="196"/>
      <c r="K17" s="198" t="s">
        <v>335</v>
      </c>
      <c r="L17" s="198" t="s">
        <v>334</v>
      </c>
      <c r="M17" s="198" t="s">
        <v>342</v>
      </c>
    </row>
    <row r="18" spans="1:13" s="63" customFormat="1" ht="12">
      <c r="A18" s="59"/>
      <c r="C18" s="67" t="s">
        <v>119</v>
      </c>
      <c r="D18" s="150">
        <f>'Company Info'!$A$98</f>
        <v>4395</v>
      </c>
      <c r="E18" s="188"/>
      <c r="G18" s="67" t="s">
        <v>115</v>
      </c>
      <c r="H18" s="257">
        <f>'Company Info'!$A$174</f>
        <v>18732</v>
      </c>
      <c r="J18" s="67" t="s">
        <v>336</v>
      </c>
      <c r="K18" s="65">
        <f>'Company Info'!A152</f>
        <v>2758</v>
      </c>
      <c r="L18" s="65">
        <f>'Company Info'!A158</f>
        <v>2418</v>
      </c>
      <c r="M18" s="160">
        <f aca="true" t="shared" si="0" ref="M18:M23">IF(L18&gt;0,K18/L18-1,"n/a   ")</f>
        <v>0.14061207609594706</v>
      </c>
    </row>
    <row r="19" spans="1:13" s="63" customFormat="1" ht="12">
      <c r="A19" s="59"/>
      <c r="C19" s="67" t="s">
        <v>118</v>
      </c>
      <c r="D19" s="150">
        <f>IF('Company Info'!$A$99&lt;=0,"n/a",'Company Info'!$A$99)</f>
        <v>4481</v>
      </c>
      <c r="E19" s="189"/>
      <c r="G19" s="67" t="s">
        <v>114</v>
      </c>
      <c r="H19" s="258">
        <f>'Company Info'!$A$102</f>
        <v>25401</v>
      </c>
      <c r="J19" s="67" t="s">
        <v>337</v>
      </c>
      <c r="K19" s="65">
        <f>'Company Info'!A153</f>
        <v>2108</v>
      </c>
      <c r="L19" s="65">
        <f>'Company Info'!A159</f>
        <v>1679</v>
      </c>
      <c r="M19" s="160">
        <f t="shared" si="0"/>
        <v>0.2555092316855272</v>
      </c>
    </row>
    <row r="20" spans="1:13" s="63" customFormat="1" ht="12">
      <c r="A20" s="59"/>
      <c r="C20" s="67" t="s">
        <v>117</v>
      </c>
      <c r="D20" s="186" t="str">
        <f>IF('Company Info'!$A$100&lt;=0,"n/a",'Company Info'!$A$100)</f>
        <v>n/a</v>
      </c>
      <c r="E20" s="189"/>
      <c r="G20" s="67" t="s">
        <v>346</v>
      </c>
      <c r="H20" s="259">
        <f>'Company Info'!A164</f>
        <v>64738</v>
      </c>
      <c r="J20" s="67" t="s">
        <v>338</v>
      </c>
      <c r="K20" s="65">
        <f>'Company Info'!A154</f>
        <v>24891</v>
      </c>
      <c r="L20" s="65">
        <f>'Company Info'!A160</f>
        <v>23532</v>
      </c>
      <c r="M20" s="160">
        <f t="shared" si="0"/>
        <v>0.057751147373788836</v>
      </c>
    </row>
    <row r="21" spans="1:13" s="63" customFormat="1" ht="12">
      <c r="A21" s="59"/>
      <c r="C21" s="67" t="s">
        <v>116</v>
      </c>
      <c r="D21" s="186" t="str">
        <f>IF('Company Info'!$A$101&lt;=0,"n/a",'Company Info'!$A$101)</f>
        <v>n/a</v>
      </c>
      <c r="E21" s="189"/>
      <c r="G21" s="151" t="s">
        <v>113</v>
      </c>
      <c r="H21" s="158">
        <f>IF('Company Info'!A164&gt;0,'Company Info'!$A$174/'Company Info'!A164,"n/a")</f>
        <v>0.2893509221786277</v>
      </c>
      <c r="J21" s="67" t="s">
        <v>339</v>
      </c>
      <c r="K21" s="65">
        <f>'Company Info'!A155</f>
        <v>30483</v>
      </c>
      <c r="L21" s="65">
        <f>'Company Info'!A161</f>
        <v>28895</v>
      </c>
      <c r="M21" s="160">
        <f t="shared" si="0"/>
        <v>0.054957605121993325</v>
      </c>
    </row>
    <row r="22" spans="1:13" s="63" customFormat="1" ht="12">
      <c r="A22" s="59"/>
      <c r="C22" s="80" t="s">
        <v>369</v>
      </c>
      <c r="D22" s="150" t="str">
        <f>IF('Company Info'!$A$137&lt;=0,"n/a",'Company Info'!$A$137)</f>
        <v>n/a</v>
      </c>
      <c r="E22" s="189"/>
      <c r="G22" s="151" t="s">
        <v>112</v>
      </c>
      <c r="H22" s="158">
        <f>IF('Company Info'!A164&gt;0,'Company Info'!$A$102/'Company Info'!A164,"n/a")</f>
        <v>0.392366152800519</v>
      </c>
      <c r="J22" s="67" t="s">
        <v>340</v>
      </c>
      <c r="K22" s="65">
        <f>'Company Info'!A156</f>
        <v>5793</v>
      </c>
      <c r="L22" s="65">
        <f>'Company Info'!A162</f>
        <v>3148</v>
      </c>
      <c r="M22" s="160">
        <f t="shared" si="0"/>
        <v>0.8402160101651843</v>
      </c>
    </row>
    <row r="23" spans="1:13" s="63" customFormat="1" ht="12">
      <c r="A23" s="59"/>
      <c r="B23" s="183"/>
      <c r="C23" s="171" t="s">
        <v>397</v>
      </c>
      <c r="D23" s="187">
        <f>'Company Info'!A103</f>
        <v>16</v>
      </c>
      <c r="E23" s="190"/>
      <c r="F23" s="183"/>
      <c r="G23" s="171" t="s">
        <v>345</v>
      </c>
      <c r="H23" s="254">
        <f>'Company Info'!$A$196</f>
        <v>16.725</v>
      </c>
      <c r="I23" s="183"/>
      <c r="J23" s="171" t="s">
        <v>341</v>
      </c>
      <c r="K23" s="193">
        <f>'Company Info'!A157</f>
        <v>32617</v>
      </c>
      <c r="L23" s="193">
        <f>'Company Info'!A163</f>
        <v>28626</v>
      </c>
      <c r="M23" s="253">
        <f t="shared" si="0"/>
        <v>0.1394187102633968</v>
      </c>
    </row>
    <row r="24" s="63" customFormat="1" ht="11.25">
      <c r="A24" s="59"/>
    </row>
    <row r="25" s="63" customFormat="1" ht="11.25">
      <c r="A25" s="59"/>
    </row>
    <row r="26" s="63" customFormat="1" ht="11.25">
      <c r="A26" s="59"/>
    </row>
    <row r="27" spans="1:16" s="63" customFormat="1" ht="12">
      <c r="A27" s="59"/>
      <c r="B27" s="144" t="s">
        <v>324</v>
      </c>
      <c r="C27" s="255">
        <f>'Company Info'!$A$94-9</f>
        <v>1992</v>
      </c>
      <c r="D27" s="255">
        <f>'Company Info'!$A$94-8</f>
        <v>1993</v>
      </c>
      <c r="E27" s="255">
        <f>'Company Info'!$A$94-7</f>
        <v>1994</v>
      </c>
      <c r="F27" s="255">
        <f>'Company Info'!$A$94-6</f>
        <v>1995</v>
      </c>
      <c r="G27" s="255">
        <f>'Company Info'!$A$94-5</f>
        <v>1996</v>
      </c>
      <c r="H27" s="255">
        <f>'Company Info'!$A$94-4</f>
        <v>1997</v>
      </c>
      <c r="I27" s="255">
        <f>'Company Info'!$A$94-3</f>
        <v>1998</v>
      </c>
      <c r="J27" s="255">
        <f>'Company Info'!$A$94-2</f>
        <v>1999</v>
      </c>
      <c r="K27" s="255">
        <f>'Company Info'!$A$94-1</f>
        <v>2000</v>
      </c>
      <c r="L27" s="255">
        <f>'Company Info'!$A$94</f>
        <v>2001</v>
      </c>
      <c r="M27" s="176"/>
      <c r="O27" s="64"/>
      <c r="P27" s="64"/>
    </row>
    <row r="28" spans="1:13" ht="12">
      <c r="A28" s="59"/>
      <c r="B28" s="67" t="s">
        <v>126</v>
      </c>
      <c r="C28" s="71">
        <f>'Company Info'!$A$21</f>
        <v>55483.771</v>
      </c>
      <c r="D28" s="71">
        <f>'Company Info'!$A$22</f>
        <v>67344.574</v>
      </c>
      <c r="E28" s="71">
        <f>'Company Info'!$A$23</f>
        <v>82494</v>
      </c>
      <c r="F28" s="71">
        <f>'Company Info'!$A$24</f>
        <v>93627</v>
      </c>
      <c r="G28" s="71">
        <f>'Company Info'!$A$25</f>
        <v>104859</v>
      </c>
      <c r="H28" s="71">
        <f>'Company Info'!$A$26</f>
        <v>117958</v>
      </c>
      <c r="I28" s="71">
        <f>'Company Info'!$A$27</f>
        <v>137634</v>
      </c>
      <c r="J28" s="71">
        <f>'Company Info'!$A$28</f>
        <v>165013</v>
      </c>
      <c r="K28" s="71">
        <f>'Company Info'!$A$29</f>
        <v>191329</v>
      </c>
      <c r="L28" s="71">
        <f>'Company Info'!$A$30</f>
        <v>217799</v>
      </c>
      <c r="M28" s="72"/>
    </row>
    <row r="29" spans="1:13" ht="12">
      <c r="A29" s="59"/>
      <c r="B29" s="73" t="s">
        <v>127</v>
      </c>
      <c r="C29" s="74">
        <f>'Company Info'!$A$41</f>
        <v>3166.339</v>
      </c>
      <c r="D29" s="74">
        <f>'Company Info'!$A$42</f>
        <v>3691.578</v>
      </c>
      <c r="E29" s="74">
        <f>'Company Info'!$A$43</f>
        <v>4262</v>
      </c>
      <c r="F29" s="74">
        <f>'Company Info'!$A$44</f>
        <v>4346</v>
      </c>
      <c r="G29" s="74">
        <f>'Company Info'!$A$45</f>
        <v>4850</v>
      </c>
      <c r="H29" s="74">
        <f>'Company Info'!$A$46</f>
        <v>5641</v>
      </c>
      <c r="I29" s="74">
        <f>'Company Info'!$A$47</f>
        <v>7170</v>
      </c>
      <c r="J29" s="74">
        <f>'Company Info'!$A$48</f>
        <v>9083</v>
      </c>
      <c r="K29" s="74">
        <f>'Company Info'!$A$49</f>
        <v>10116</v>
      </c>
      <c r="L29" s="74">
        <f>'Company Info'!$A$50</f>
        <v>10751</v>
      </c>
      <c r="M29" s="75"/>
    </row>
    <row r="30" spans="1:13" ht="12">
      <c r="A30" s="59"/>
      <c r="B30" s="76" t="s">
        <v>343</v>
      </c>
      <c r="C30" s="77">
        <f>IF('Company Info'!$A41&lt;=0," - ",'Company Info'!$A41/'Company Info'!$A21)</f>
        <v>0.05706784061234771</v>
      </c>
      <c r="D30" s="77">
        <f>IF('Company Info'!$A42&lt;=0," - ",'Company Info'!$A42/'Company Info'!$A22)</f>
        <v>0.054816264781777375</v>
      </c>
      <c r="E30" s="77">
        <f>IF('Company Info'!$A43&lt;=0," - ",'Company Info'!$A43/'Company Info'!$A23)</f>
        <v>0.05166436346885834</v>
      </c>
      <c r="F30" s="77">
        <f>IF('Company Info'!$A44&lt;=0," - ",'Company Info'!$A44/'Company Info'!$A24)</f>
        <v>0.04641823405641535</v>
      </c>
      <c r="G30" s="77">
        <f>IF('Company Info'!$A45&lt;=0," - ",'Company Info'!$A45/'Company Info'!$A25)</f>
        <v>0.04625258680704565</v>
      </c>
      <c r="H30" s="77">
        <f>IF('Company Info'!$A46&lt;=0," - ",'Company Info'!$A46/'Company Info'!$A26)</f>
        <v>0.04782210617338375</v>
      </c>
      <c r="I30" s="77">
        <f>IF('Company Info'!$A47&lt;=0," - ",'Company Info'!$A47/'Company Info'!$A27)</f>
        <v>0.05209468590609878</v>
      </c>
      <c r="J30" s="77">
        <f>IF('Company Info'!$A48&lt;=0," - ",'Company Info'!$A48/'Company Info'!$A28)</f>
        <v>0.05504414803682134</v>
      </c>
      <c r="K30" s="77">
        <f>IF('Company Info'!$A49&lt;=0," - ",'Company Info'!$A49/'Company Info'!$A29)</f>
        <v>0.05287227759513717</v>
      </c>
      <c r="L30" s="77">
        <f>IF('Company Info'!$A50&lt;=0," - ",'Company Info'!$A50/'Company Info'!$A30)</f>
        <v>0.0493620264555852</v>
      </c>
      <c r="M30" s="72"/>
    </row>
    <row r="31" spans="1:13" ht="12">
      <c r="A31" s="59"/>
      <c r="B31" s="73" t="s">
        <v>128</v>
      </c>
      <c r="C31" s="74">
        <f>'Company Info'!$A$51</f>
        <v>1994.794</v>
      </c>
      <c r="D31" s="74">
        <f>'Company Info'!$A$52</f>
        <v>2333.277</v>
      </c>
      <c r="E31" s="74">
        <f>'Company Info'!$A$53</f>
        <v>2681</v>
      </c>
      <c r="F31" s="74">
        <f>'Company Info'!$A$54</f>
        <v>2740</v>
      </c>
      <c r="G31" s="74">
        <f>'Company Info'!$A$55</f>
        <v>3056</v>
      </c>
      <c r="H31" s="74">
        <f>'Company Info'!$A$56</f>
        <v>3526</v>
      </c>
      <c r="I31" s="74">
        <f>'Company Info'!$A$57</f>
        <v>4439.16</v>
      </c>
      <c r="J31" s="74">
        <f>'Company Info'!$A$58</f>
        <v>5726.72</v>
      </c>
      <c r="K31" s="74">
        <f>'Company Info'!$A$59</f>
        <v>6277.6</v>
      </c>
      <c r="L31" s="74">
        <f>'Company Info'!$A$60</f>
        <v>6676.69</v>
      </c>
      <c r="M31" s="75"/>
    </row>
    <row r="32" spans="1:13" ht="12">
      <c r="A32" s="59"/>
      <c r="B32" s="67" t="s">
        <v>322</v>
      </c>
      <c r="C32" s="78">
        <f>'Company Info'!$A$71</f>
        <v>0.435</v>
      </c>
      <c r="D32" s="78">
        <f>'Company Info'!$A$72</f>
        <v>0.51</v>
      </c>
      <c r="E32" s="78">
        <f>'Company Info'!$A$73</f>
        <v>0.585</v>
      </c>
      <c r="F32" s="78">
        <f>'Company Info'!$A$74</f>
        <v>0.595</v>
      </c>
      <c r="G32" s="78">
        <f>'Company Info'!$A$75</f>
        <v>0.665</v>
      </c>
      <c r="H32" s="78">
        <f>'Company Info'!$A$76</f>
        <v>0.78</v>
      </c>
      <c r="I32" s="78">
        <f>'Company Info'!$A$77</f>
        <v>0.99</v>
      </c>
      <c r="J32" s="78">
        <f>'Company Info'!$A$78</f>
        <v>1.28</v>
      </c>
      <c r="K32" s="78">
        <f>'Company Info'!$A$79</f>
        <v>1.4</v>
      </c>
      <c r="L32" s="78">
        <f>'Company Info'!$A$80</f>
        <v>1.49</v>
      </c>
      <c r="M32" s="79"/>
    </row>
    <row r="33" spans="1:13" ht="12">
      <c r="A33" s="59"/>
      <c r="B33" s="73" t="s">
        <v>129</v>
      </c>
      <c r="C33" s="74">
        <f>'Company Info'!$A$175</f>
        <v>4599.276</v>
      </c>
      <c r="D33" s="74">
        <f>'Company Info'!$A$176</f>
        <v>4597.538</v>
      </c>
      <c r="E33" s="74">
        <f>'Company Info'!$A$177</f>
        <v>4594</v>
      </c>
      <c r="F33" s="74">
        <f>'Company Info'!$A$178</f>
        <v>4586</v>
      </c>
      <c r="G33" s="74">
        <f>'Company Info'!$A$179</f>
        <v>4570</v>
      </c>
      <c r="H33" s="74">
        <f>'Company Info'!$A$180</f>
        <v>4482</v>
      </c>
      <c r="I33" s="74">
        <f>'Company Info'!$A$181</f>
        <v>4448</v>
      </c>
      <c r="J33" s="74">
        <f>'Company Info'!$A$182</f>
        <v>4457</v>
      </c>
      <c r="K33" s="74">
        <f>'Company Info'!$A$183</f>
        <v>4470</v>
      </c>
      <c r="L33" s="74">
        <f>'Company Info'!$A$184</f>
        <v>4453</v>
      </c>
      <c r="M33" s="75"/>
    </row>
    <row r="34" spans="1:13" ht="12">
      <c r="A34" s="59"/>
      <c r="B34" s="80" t="s">
        <v>321</v>
      </c>
      <c r="C34" s="78">
        <f>'Company Info'!$A$81</f>
        <v>0.052</v>
      </c>
      <c r="D34" s="78">
        <f>'Company Info'!$A$82</f>
        <v>0.065</v>
      </c>
      <c r="E34" s="78">
        <f>'Company Info'!$A$83</f>
        <v>0.085</v>
      </c>
      <c r="F34" s="78">
        <f>'Company Info'!$A$84</f>
        <v>0.1</v>
      </c>
      <c r="G34" s="78">
        <f>'Company Info'!$A$85</f>
        <v>0.105</v>
      </c>
      <c r="H34" s="78">
        <f>'Company Info'!$A$86</f>
        <v>0.135</v>
      </c>
      <c r="I34" s="78">
        <f>'Company Info'!$A$87</f>
        <v>0.155</v>
      </c>
      <c r="J34" s="78">
        <f>'Company Info'!$A$88</f>
        <v>0.2</v>
      </c>
      <c r="K34" s="78">
        <f>'Company Info'!$A$89</f>
        <v>0.24</v>
      </c>
      <c r="L34" s="78">
        <f>'Company Info'!$A$90</f>
        <v>0.28</v>
      </c>
      <c r="M34" s="79"/>
    </row>
    <row r="35" spans="1:13" ht="12">
      <c r="A35" s="59"/>
      <c r="B35" s="73" t="s">
        <v>317</v>
      </c>
      <c r="C35" s="81">
        <f>'Company Info'!$A$61</f>
        <v>1.905</v>
      </c>
      <c r="D35" s="81">
        <f>'Company Info'!$A$62</f>
        <v>2.338</v>
      </c>
      <c r="E35" s="81">
        <f>'Company Info'!$A$63</f>
        <v>2.77</v>
      </c>
      <c r="F35" s="81">
        <f>'Company Info'!$A$64</f>
        <v>3.217</v>
      </c>
      <c r="G35" s="81">
        <f>'Company Info'!$A$65</f>
        <v>3.751</v>
      </c>
      <c r="H35" s="81">
        <f>'Company Info'!$A$66</f>
        <v>4.128</v>
      </c>
      <c r="I35" s="81">
        <f>'Company Info'!$A$67</f>
        <v>4.747</v>
      </c>
      <c r="J35" s="81">
        <f>'Company Info'!$A$68</f>
        <v>5.796</v>
      </c>
      <c r="K35" s="81">
        <f>'Company Info'!$A$69</f>
        <v>7.012</v>
      </c>
      <c r="L35" s="81">
        <f>'Company Info'!$A$70</f>
        <v>7.883</v>
      </c>
      <c r="M35" s="75"/>
    </row>
    <row r="36" spans="1:13" ht="12">
      <c r="A36" s="59"/>
      <c r="B36" s="80" t="s">
        <v>344</v>
      </c>
      <c r="C36" s="82">
        <f>IF('Company Info'!$A71&lt;=0," - ",'Company Info'!$A71/'Company Info'!$A61)</f>
        <v>0.22834645669291337</v>
      </c>
      <c r="D36" s="82">
        <f>IF('Company Info'!$A72&lt;=0," - ",'Company Info'!$A72/'Company Info'!$A62)</f>
        <v>0.21813515825491872</v>
      </c>
      <c r="E36" s="82">
        <f>IF('Company Info'!$A73&lt;=0," - ",'Company Info'!$A73/'Company Info'!$A63)</f>
        <v>0.21119133574007218</v>
      </c>
      <c r="F36" s="82">
        <f>IF('Company Info'!$A74&lt;=0," - ",'Company Info'!$A74/'Company Info'!$A64)</f>
        <v>0.18495492695057505</v>
      </c>
      <c r="G36" s="82">
        <f>IF('Company Info'!$A75&lt;=0," - ",'Company Info'!$A75/'Company Info'!$A65)</f>
        <v>0.17728605705145295</v>
      </c>
      <c r="H36" s="82">
        <f>IF('Company Info'!$A76&lt;=0," - ",'Company Info'!$A76/'Company Info'!$A66)</f>
        <v>0.18895348837209303</v>
      </c>
      <c r="I36" s="82">
        <f>IF('Company Info'!$A77&lt;=0," - ",'Company Info'!$A77/'Company Info'!$A67)</f>
        <v>0.2085527701706341</v>
      </c>
      <c r="J36" s="82">
        <f>IF('Company Info'!$A78&lt;=0," - ",'Company Info'!$A78/'Company Info'!$A68)</f>
        <v>0.22084195997239475</v>
      </c>
      <c r="K36" s="82">
        <f>IF('Company Info'!$A79&lt;=0," - ",'Company Info'!$A79/'Company Info'!$A69)</f>
        <v>0.19965772960638906</v>
      </c>
      <c r="L36" s="82">
        <f>IF('Company Info'!$A80&lt;=0," - ",'Company Info'!$A80/'Company Info'!$A70)</f>
        <v>0.189014334644171</v>
      </c>
      <c r="M36" s="72"/>
    </row>
    <row r="37" spans="1:13" ht="12">
      <c r="A37" s="59"/>
      <c r="B37" s="73" t="s">
        <v>314</v>
      </c>
      <c r="C37" s="83">
        <f>'Company Info'!$A$185</f>
        <v>0.57</v>
      </c>
      <c r="D37" s="83">
        <f>'Company Info'!$A$186</f>
        <v>0.686</v>
      </c>
      <c r="E37" s="83">
        <f>'Company Info'!$A$187</f>
        <v>0.816</v>
      </c>
      <c r="F37" s="83">
        <f>'Company Info'!$A$188</f>
        <v>0.882</v>
      </c>
      <c r="G37" s="83">
        <f>'Company Info'!$A$189</f>
        <v>0.989</v>
      </c>
      <c r="H37" s="83">
        <f>'Company Info'!$A$190</f>
        <v>1.151</v>
      </c>
      <c r="I37" s="83">
        <f>'Company Info'!$A$191</f>
        <v>1.419</v>
      </c>
      <c r="J37" s="83">
        <f>'Company Info'!$A$192</f>
        <v>1.733</v>
      </c>
      <c r="K37" s="83">
        <f>'Company Info'!$A$193</f>
        <v>1.938</v>
      </c>
      <c r="L37" s="83">
        <f>'Company Info'!$A$194</f>
        <v>2.106</v>
      </c>
      <c r="M37" s="75"/>
    </row>
    <row r="38" spans="1:13" ht="12">
      <c r="A38" s="59"/>
      <c r="B38" s="67" t="s">
        <v>130</v>
      </c>
      <c r="C38" s="71">
        <f>'Company Info'!$A$165</f>
        <v>4844.987</v>
      </c>
      <c r="D38" s="71">
        <f>'Company Info'!$A$166</f>
        <v>7960.194</v>
      </c>
      <c r="E38" s="71">
        <f>'Company Info'!$A$167</f>
        <v>9709</v>
      </c>
      <c r="F38" s="71">
        <f>'Company Info'!$A$168</f>
        <v>10600</v>
      </c>
      <c r="G38" s="71">
        <f>'Company Info'!$A$169</f>
        <v>10016</v>
      </c>
      <c r="H38" s="71">
        <f>'Company Info'!$A$170</f>
        <v>9674</v>
      </c>
      <c r="I38" s="71">
        <f>'Company Info'!$A$171</f>
        <v>9607</v>
      </c>
      <c r="J38" s="71">
        <f>'Company Info'!$A$172</f>
        <v>16674</v>
      </c>
      <c r="K38" s="71">
        <f>'Company Info'!$A$173</f>
        <v>15655</v>
      </c>
      <c r="L38" s="71">
        <f>'Company Info'!$A$174</f>
        <v>18732</v>
      </c>
      <c r="M38" s="72"/>
    </row>
    <row r="39" spans="1:13" ht="12">
      <c r="A39" s="59"/>
      <c r="B39" s="84" t="s">
        <v>319</v>
      </c>
      <c r="C39" s="83">
        <f>'Company Info'!$A$1</f>
        <v>16.469</v>
      </c>
      <c r="D39" s="83">
        <f>'Company Info'!$A$2</f>
        <v>17.062</v>
      </c>
      <c r="E39" s="83">
        <f>'Company Info'!$A$3</f>
        <v>14.625</v>
      </c>
      <c r="F39" s="83">
        <f>'Company Info'!$A$4</f>
        <v>13.812</v>
      </c>
      <c r="G39" s="83">
        <f>'Company Info'!$A$5</f>
        <v>14.125</v>
      </c>
      <c r="H39" s="83">
        <f>'Company Info'!$A$6</f>
        <v>20.968</v>
      </c>
      <c r="I39" s="83">
        <f>'Company Info'!$A$7</f>
        <v>43.219</v>
      </c>
      <c r="J39" s="83">
        <f>'Company Info'!$A$8</f>
        <v>70.25</v>
      </c>
      <c r="K39" s="83">
        <f>'Company Info'!$A$9</f>
        <v>64.938</v>
      </c>
      <c r="L39" s="83">
        <f>'Company Info'!$A$10</f>
        <v>59.98</v>
      </c>
      <c r="M39" s="85"/>
    </row>
    <row r="40" spans="1:13" ht="12">
      <c r="A40" s="59"/>
      <c r="B40" s="80" t="s">
        <v>320</v>
      </c>
      <c r="C40" s="86">
        <f>'Company Info'!$A$11</f>
        <v>12.531</v>
      </c>
      <c r="D40" s="86">
        <f>'Company Info'!$A$12</f>
        <v>11.5</v>
      </c>
      <c r="E40" s="86">
        <f>'Company Info'!$A$13</f>
        <v>10.25</v>
      </c>
      <c r="F40" s="86">
        <f>'Company Info'!$A$14</f>
        <v>9.562</v>
      </c>
      <c r="G40" s="86">
        <f>'Company Info'!$A$15</f>
        <v>10.062</v>
      </c>
      <c r="H40" s="86">
        <f>'Company Info'!$A$16</f>
        <v>11.5</v>
      </c>
      <c r="I40" s="86">
        <f>'Company Info'!$A$17</f>
        <v>20.093</v>
      </c>
      <c r="J40" s="86">
        <f>'Company Info'!$A$18</f>
        <v>38.875</v>
      </c>
      <c r="K40" s="86">
        <f>'Company Info'!$A$19</f>
        <v>41.438</v>
      </c>
      <c r="L40" s="86">
        <f>'Company Info'!$A$20</f>
        <v>41.5</v>
      </c>
      <c r="M40" s="79"/>
    </row>
    <row r="41" spans="1:13" ht="12">
      <c r="A41" s="59"/>
      <c r="B41" s="287" t="s">
        <v>323</v>
      </c>
      <c r="C41" s="287"/>
      <c r="D41" s="287"/>
      <c r="E41" s="287"/>
      <c r="F41" s="287"/>
      <c r="G41" s="287"/>
      <c r="H41" s="287"/>
      <c r="I41" s="287"/>
      <c r="J41" s="287"/>
      <c r="K41" s="287"/>
      <c r="L41" s="287"/>
      <c r="M41" s="87"/>
    </row>
    <row r="42" spans="1:13" ht="12">
      <c r="A42" s="59"/>
      <c r="B42" s="88"/>
      <c r="C42" s="88"/>
      <c r="D42" s="88"/>
      <c r="E42" s="88"/>
      <c r="F42" s="88"/>
      <c r="G42" s="88"/>
      <c r="H42" s="88"/>
      <c r="I42" s="88"/>
      <c r="J42" s="88"/>
      <c r="K42" s="88"/>
      <c r="L42" s="88"/>
      <c r="M42" s="79"/>
    </row>
    <row r="43" spans="1:13" ht="12">
      <c r="A43" s="59"/>
      <c r="B43" s="88"/>
      <c r="C43" s="88"/>
      <c r="D43" s="88"/>
      <c r="E43" s="88"/>
      <c r="F43" s="88"/>
      <c r="G43" s="88"/>
      <c r="H43" s="88"/>
      <c r="I43" s="88"/>
      <c r="J43" s="88"/>
      <c r="K43" s="88"/>
      <c r="L43" s="88"/>
      <c r="M43" s="79"/>
    </row>
    <row r="44" spans="1:13" ht="12">
      <c r="A44" s="59"/>
      <c r="B44" s="89"/>
      <c r="C44" s="89"/>
      <c r="D44" s="89"/>
      <c r="E44" s="89"/>
      <c r="F44" s="89"/>
      <c r="G44" s="89"/>
      <c r="H44" s="89"/>
      <c r="I44" s="89"/>
      <c r="J44" s="89"/>
      <c r="K44" s="89"/>
      <c r="L44" s="89"/>
      <c r="M44" s="79"/>
    </row>
    <row r="45" spans="1:13" s="63" customFormat="1" ht="11.25">
      <c r="A45" s="59"/>
      <c r="B45" s="62" t="s">
        <v>325</v>
      </c>
      <c r="C45" s="177" t="s">
        <v>348</v>
      </c>
      <c r="D45" s="177" t="s">
        <v>349</v>
      </c>
      <c r="E45" s="178" t="s">
        <v>350</v>
      </c>
      <c r="F45" s="178" t="s">
        <v>351</v>
      </c>
      <c r="G45" s="177" t="s">
        <v>352</v>
      </c>
      <c r="H45" s="177" t="s">
        <v>353</v>
      </c>
      <c r="I45" s="178" t="s">
        <v>354</v>
      </c>
      <c r="J45" s="178" t="s">
        <v>355</v>
      </c>
      <c r="K45" s="177" t="s">
        <v>386</v>
      </c>
      <c r="L45" s="179"/>
      <c r="M45" s="180"/>
    </row>
    <row r="46" spans="1:13" ht="12">
      <c r="A46" s="59"/>
      <c r="B46" s="80" t="s">
        <v>135</v>
      </c>
      <c r="C46" s="159">
        <f>IF('Company Info'!$A$21&lt;=0," ",LOGEST('Company Info'!$A$21:'Company Info'!$A30)-1)</f>
        <v>0.1590673526173514</v>
      </c>
      <c r="D46" s="160">
        <f>IF('Company Info'!$A$22&lt;=0," ",LOGEST('Company Info'!$A$22:'Company Info'!$A30)-1)</f>
        <v>0.15458003159302347</v>
      </c>
      <c r="E46" s="160">
        <f>IF('Company Info'!$A$23&lt;=0," ",LOGEST('Company Info'!$A$23:'Company Info'!$A30)-1)</f>
        <v>0.15197033366274781</v>
      </c>
      <c r="F46" s="160">
        <f>IF('Company Info'!$A$24&lt;=0," ",LOGEST('Company Info'!$A$24:'Company Info'!$A30)-1)</f>
        <v>0.15650260787039505</v>
      </c>
      <c r="G46" s="159">
        <f>IF('Company Info'!$A$25&lt;=0," ",LOGEST('Company Info'!$A$25:'Company Info'!$A30)-1)</f>
        <v>0.16306989277952755</v>
      </c>
      <c r="H46" s="159">
        <f>IF('Company Info'!$A$26&lt;=0," ",LOGEST('Company Info'!$A$26:'Company Info'!$A30)-1)</f>
        <v>0.16834526599856647</v>
      </c>
      <c r="I46" s="160">
        <f>IF('Company Info'!$A$27&lt;=0," ",LOGEST('Company Info'!$A$27:'Company Info'!$A30)-1)</f>
        <v>0.16473012683791488</v>
      </c>
      <c r="J46" s="160">
        <f>IF('Company Info'!$A$28&lt;=0," ",LOGEST('Company Info'!$A$28:'Company Info'!$A30)-1)</f>
        <v>0.14886463435197683</v>
      </c>
      <c r="K46" s="159">
        <f>IF('Company Info'!$A$29&lt;=0," ",LOGEST('Company Info'!$A$29:'Company Info'!$A30)-1)</f>
        <v>0.13834808105410001</v>
      </c>
      <c r="L46" s="90" t="s">
        <v>135</v>
      </c>
      <c r="M46" s="64"/>
    </row>
    <row r="47" spans="1:13" ht="12">
      <c r="A47" s="59"/>
      <c r="B47" s="84" t="s">
        <v>209</v>
      </c>
      <c r="C47" s="161">
        <f>IF('Company Info'!$A$41&lt;=0," ",IF('Company Info'!$A$50&lt;=0," ",LOGEST('Company Info'!$A$41:'Company Info'!$A$50)-1))</f>
        <v>0.15302810616882412</v>
      </c>
      <c r="D47" s="161">
        <f>IF('Company Info'!$A$42&lt;=0," ",IF('Company Info'!$A$50&lt;=0," ",LOGEST('Company Info'!$A$42:'Company Info'!$A$50)-1))</f>
        <v>0.15669759598706512</v>
      </c>
      <c r="E47" s="161">
        <f>IF('Company Info'!$A$43&lt;=0," ",IF('Company Info'!$A$50&lt;=0," ",LOGEST('Company Info'!$A$43:'Company Info'!$A$50)-1))</f>
        <v>0.16492627992229858</v>
      </c>
      <c r="F47" s="161">
        <f>IF('Company Info'!$A$44&lt;=0," ",IF('Company Info'!$A$50&lt;=0," ",LOGEST('Company Info'!$A$44:'Company Info'!$A$50)-1))</f>
        <v>0.18124162612154016</v>
      </c>
      <c r="G47" s="161">
        <f>IF('Company Info'!$A$45&lt;=0," ",IF('Company Info'!$A$50&lt;=0," ",LOGEST('Company Info'!$A$45:'Company Info'!$A$50)-1))</f>
        <v>0.1859406887652253</v>
      </c>
      <c r="H47" s="161">
        <f>IF('Company Info'!$A$46&lt;=0," ",IF('Company Info'!$A$50&lt;=0," ",LOGEST('Company Info'!$A$46:'Company Info'!$A$50)-1))</f>
        <v>0.17751790315252536</v>
      </c>
      <c r="I47" s="161">
        <f>IF('Company Info'!$A$47&lt;=0," ",IF('Company Info'!$A$50&lt;=0," ",LOGEST('Company Info'!$A$47:'Company Info'!$A$50)-1))</f>
        <v>0.1414499213344067</v>
      </c>
      <c r="J47" s="161">
        <f>IF('Company Info'!$A$48&lt;=0," ",IF('Company Info'!$A$50&lt;=0," ",LOGEST('Company Info'!$A$48:'Company Info'!$A$50)-1))</f>
        <v>0.08795209756539202</v>
      </c>
      <c r="K47" s="161">
        <f>IF('Company Info'!$A$49&lt;=0," ",IF('Company Info'!$A$50&lt;=0," ",LOGEST('Company Info'!$A$49:'Company Info'!$A$50)-1))</f>
        <v>0.06277184657967094</v>
      </c>
      <c r="L47" s="91" t="s">
        <v>209</v>
      </c>
      <c r="M47" s="92"/>
    </row>
    <row r="48" spans="1:13" ht="12">
      <c r="A48" s="59"/>
      <c r="B48" s="76" t="s">
        <v>343</v>
      </c>
      <c r="C48" s="159">
        <f>IF('Company Info'!$A$41&lt;=0," ",IF('Company Info'!$A$50&lt;=0," ",LOGEST(C$30:$L$30)-1))</f>
        <v>-0.005210436162222054</v>
      </c>
      <c r="D48" s="159">
        <f>IF('Company Info'!$A$42&lt;=0," ",IF('Company Info'!$A$50&lt;=0," ",LOGEST(D$30:$L$30)-1))</f>
        <v>0.0018340559650258381</v>
      </c>
      <c r="E48" s="159">
        <f>IF('Company Info'!$A$43&lt;=0," ",IF('Company Info'!$A$50&lt;=0," ",LOGEST(E$30:$L$30)-1))</f>
        <v>0.011246770755249713</v>
      </c>
      <c r="F48" s="159">
        <f>IF('Company Info'!$A$44&lt;=0," ",IF('Company Info'!$A$50&lt;=0," ",LOGEST(F$30:$L$30)-1))</f>
        <v>0.021391234297951867</v>
      </c>
      <c r="G48" s="159">
        <f>IF('Company Info'!$A$45&lt;=0," ",IF('Company Info'!$A$50&lt;=0," ",LOGEST(G$30:$L$30)-1))</f>
        <v>0.019664163028966675</v>
      </c>
      <c r="H48" s="159">
        <f>IF('Company Info'!$A$46&lt;=0," ",IF('Company Info'!$A$50&lt;=0," ",LOGEST(H$30:$L$30)-1))</f>
        <v>0.007850964454518827</v>
      </c>
      <c r="I48" s="159">
        <f>IF('Company Info'!$A$47&lt;=0," ",IF('Company Info'!$A$50&lt;=0," ",LOGEST(I$30:$L$30)-1))</f>
        <v>-0.01998763916815216</v>
      </c>
      <c r="J48" s="159">
        <f>IF('Company Info'!$A$48&lt;=0," ",IF('Company Info'!$A$50&lt;=0," ",LOGEST(J$30:$L$30)-1))</f>
        <v>-0.053019768356729946</v>
      </c>
      <c r="K48" s="159">
        <f>IF('Company Info'!$A$49&lt;=0," ",IF('Company Info'!$A$50&lt;=0," ",LOGEST(K$30:$L$30)-1))</f>
        <v>-0.0663911467259124</v>
      </c>
      <c r="L48" s="93" t="s">
        <v>343</v>
      </c>
      <c r="M48" s="94"/>
    </row>
    <row r="49" spans="1:13" ht="12">
      <c r="A49" s="59"/>
      <c r="B49" s="84" t="s">
        <v>141</v>
      </c>
      <c r="C49" s="161">
        <f>IF('Company Info'!$A$51&lt;=0," ",IF('Company Info'!$A$60&lt;=0," ",LOGEST('Company Info'!$A$51:'Company Info'!$A$60)-1))</f>
        <v>0.15087402648023618</v>
      </c>
      <c r="D49" s="161">
        <f>IF('Company Info'!$A$52&lt;=0," ",IF('Company Info'!$A$60&lt;=0," ",LOGEST('Company Info'!$A$52:'Company Info'!$A$60)-1))</f>
        <v>0.15422055924345557</v>
      </c>
      <c r="E49" s="161">
        <f>IF('Company Info'!$A$53&lt;=0," ",IF('Company Info'!$A$60&lt;=0," ",LOGEST('Company Info'!$A$53:'Company Info'!$A$60)-1))</f>
        <v>0.1624787674761028</v>
      </c>
      <c r="F49" s="161">
        <f>IF('Company Info'!$A$54&lt;=0," ",IF('Company Info'!$A$60&lt;=0," ",LOGEST('Company Info'!$A$54:'Company Info'!$A$60)-1))</f>
        <v>0.1784135302773322</v>
      </c>
      <c r="G49" s="161">
        <f>IF('Company Info'!$A$55&lt;=0," ",IF('Company Info'!$A$60&lt;=0," ",LOGEST('Company Info'!$A$55:'Company Info'!$A$60)-1))</f>
        <v>0.18336681026704382</v>
      </c>
      <c r="H49" s="161">
        <f>IF('Company Info'!$A$56&lt;=0," ",IF('Company Info'!$A$60&lt;=0," ",LOGEST('Company Info'!$A$56:'Company Info'!$A$60)-1))</f>
        <v>0.17626470284890794</v>
      </c>
      <c r="I49" s="161">
        <f>IF('Company Info'!$A$57&lt;=0," ",IF('Company Info'!$A$60&lt;=0," ",LOGEST('Company Info'!$A$57:'Company Info'!$A$60)-1))</f>
        <v>0.14068805345777768</v>
      </c>
      <c r="J49" s="161">
        <f>IF('Company Info'!$A$58&lt;=0," ",IF('Company Info'!$A$60&lt;=0," ",LOGEST('Company Info'!$A$58:'Company Info'!$A$60)-1))</f>
        <v>0.07976098599632264</v>
      </c>
      <c r="K49" s="161">
        <f>IF('Company Info'!$A$59&lt;=0," ",IF('Company Info'!$A$60&lt;=0," ",LOGEST('Company Info'!$A$59:'Company Info'!$A$60)-1))</f>
        <v>0.06357365872308018</v>
      </c>
      <c r="L49" s="91" t="s">
        <v>141</v>
      </c>
      <c r="M49" s="92"/>
    </row>
    <row r="50" spans="1:14" ht="12">
      <c r="A50" s="59"/>
      <c r="B50" s="76" t="s">
        <v>318</v>
      </c>
      <c r="C50" s="159">
        <f>IF('Company Info'!$A$71&lt;=0," ",LOGEST('Company Info'!$A$71:'Company Info'!$A$80)-1)</f>
        <v>0.1548235023574136</v>
      </c>
      <c r="D50" s="159">
        <f>IF('Company Info'!$A$72&lt;=0," ",LOGEST('Company Info'!$A$72:'Company Info'!$A$80)-1)</f>
        <v>0.15866976376953623</v>
      </c>
      <c r="E50" s="159">
        <f>IF('Company Info'!$A$73&lt;=0," ",LOGEST('Company Info'!$A$73:'Company Info'!$A$80)-1)</f>
        <v>0.16773668871086356</v>
      </c>
      <c r="F50" s="159">
        <f>IF('Company Info'!$A$74&lt;=0," ",LOGEST('Company Info'!$A$74:'Company Info'!$A$80)-1)</f>
        <v>0.1843786591840031</v>
      </c>
      <c r="G50" s="159">
        <f>IF('Company Info'!$A$75&lt;=0," ",LOGEST('Company Info'!$A$75:'Company Info'!$A$80)-1)</f>
        <v>0.18854118119692598</v>
      </c>
      <c r="H50" s="159">
        <f>IF('Company Info'!$A$76&lt;=0," ",LOGEST('Company Info'!$A$76:'Company Info'!$A$80)-1)</f>
        <v>0.17833185148373265</v>
      </c>
      <c r="I50" s="159">
        <f>IF('Company Info'!$A$77&lt;=0," ",LOGEST('Company Info'!$A$77:'Company Info'!$A$80)-1)</f>
        <v>0.14066240720894463</v>
      </c>
      <c r="J50" s="159">
        <f>IF('Company Info'!$A$78&lt;=0," ",LOGEST('Company Info'!$A$78:'Company Info'!$A$80)-1)</f>
        <v>0.07891728135200426</v>
      </c>
      <c r="K50" s="159">
        <f>IF('Company Info'!$A$79&lt;=0," ",LOGEST('Company Info'!$A$79:'Company Info'!$A$80)-1)</f>
        <v>0.06428571428571428</v>
      </c>
      <c r="L50" s="93" t="s">
        <v>318</v>
      </c>
      <c r="M50" s="95"/>
      <c r="N50" s="95"/>
    </row>
    <row r="51" spans="1:13" ht="12">
      <c r="A51" s="59"/>
      <c r="B51" s="84" t="s">
        <v>309</v>
      </c>
      <c r="C51" s="161">
        <f>IF('Company Info'!$A$175&lt;=0," ",LOGEST('Company Info'!$A$175:'Company Info'!$A$184)-1)</f>
        <v>-0.00453692760003177</v>
      </c>
      <c r="D51" s="161">
        <f>IF('Company Info'!$A$176&lt;=0," ",LOGEST('Company Info'!$A$176:'Company Info'!$A$184)-1)</f>
        <v>-0.004887732333247019</v>
      </c>
      <c r="E51" s="161">
        <f>IF('Company Info'!$A$177&lt;=0," ",LOGEST('Company Info'!$A$177:'Company Info'!$A$184)-1)</f>
        <v>-0.005094563890692849</v>
      </c>
      <c r="F51" s="161">
        <f>IF('Company Info'!$A$178&lt;=0," ",LOGEST('Company Info'!$A$178:'Company Info'!$A$184)-1)</f>
        <v>-0.004921192069170743</v>
      </c>
      <c r="G51" s="161">
        <f>IF('Company Info'!$A$179&lt;=0," ",LOGEST('Company Info'!$A$179:'Company Info'!$A$184)-1)</f>
        <v>-0.0038695640407788723</v>
      </c>
      <c r="H51" s="161">
        <f>IF('Company Info'!$A$180&lt;=0," ",LOGEST('Company Info'!$A$180:'Company Info'!$A$184)-1)</f>
        <v>-0.0008045608073617982</v>
      </c>
      <c r="I51" s="161">
        <f>IF('Company Info'!$A$181&lt;=0," ",LOGEST('Company Info'!$A$181:'Company Info'!$A$184)-1)</f>
        <v>0.0006284897004338319</v>
      </c>
      <c r="J51" s="161">
        <f>IF('Company Info'!$A$182&lt;=0," ",LOGEST('Company Info'!$A$182:'Company Info'!$A$184)-1)</f>
        <v>-0.00044883305671927776</v>
      </c>
      <c r="K51" s="161">
        <f>IF('Company Info'!$A$183&lt;=0," ",LOGEST('Company Info'!$A$183:'Company Info'!$A$184)-1)</f>
        <v>-0.0038031319910591943</v>
      </c>
      <c r="L51" s="91" t="s">
        <v>309</v>
      </c>
      <c r="M51" s="96"/>
    </row>
    <row r="52" spans="1:13" ht="12">
      <c r="A52" s="59"/>
      <c r="B52" s="80" t="s">
        <v>321</v>
      </c>
      <c r="C52" s="159">
        <f>IF('Company Info'!$A$81=0,"",LOGEST('Company Info'!$A$81:'Company Info'!$A$90)-1)</f>
        <v>0.2004148166679669</v>
      </c>
      <c r="D52" s="159">
        <f>IF('Company Info'!$A$82=0,"",LOGEST('Company Info'!$A$82:'Company Info'!$A$90)-1)</f>
        <v>0.19584796078583833</v>
      </c>
      <c r="E52" s="159">
        <f>IF('Company Info'!$A$83=0,"",LOGEST('Company Info'!$A$83:'Company Info'!$A$90)-1)</f>
        <v>0.19257340096928166</v>
      </c>
      <c r="F52" s="159">
        <f>IF('Company Info'!$A$84=0,"",LOGEST('Company Info'!$A$84:'Company Info'!$A$90)-1)</f>
        <v>0.20129731772133286</v>
      </c>
      <c r="G52" s="159">
        <f>IF('Company Info'!$A$85=0,"",LOGEST('Company Info'!$A$85:'Company Info'!$A$90)-1)</f>
        <v>0.2174007183246145</v>
      </c>
      <c r="H52" s="159">
        <f>IF('Company Info'!$A$86=0,"",LOGEST('Company Info'!$A$86:'Company Info'!$A$90)-1)</f>
        <v>0.2087954230229061</v>
      </c>
      <c r="I52" s="159">
        <f>IF('Company Info'!$A$87=0,"",LOGEST('Company Info'!$A$87:'Company Info'!$A$90)-1)</f>
        <v>0.21609086049508708</v>
      </c>
      <c r="J52" s="159">
        <f>IF('Company Info'!$A$88=0,"",LOGEST('Company Info'!$A$88:'Company Info'!$A$90)-1)</f>
        <v>0.18321595661992385</v>
      </c>
      <c r="K52" s="159">
        <f>IF('Company Info'!$A$89=0,"",LOGEST('Company Info'!$A$89:'Company Info'!$A$90)-1)</f>
        <v>0.16666666666666696</v>
      </c>
      <c r="L52" s="90" t="s">
        <v>321</v>
      </c>
      <c r="M52" s="94"/>
    </row>
    <row r="53" spans="1:13" ht="12">
      <c r="A53" s="59"/>
      <c r="B53" s="84" t="s">
        <v>317</v>
      </c>
      <c r="C53" s="161">
        <f>IF('Company Info'!$A$61=0," ",IF('Company Info'!$A$70=0," ",LOGEST('Company Info'!$A$61:'Company Info'!$A$70)-1))</f>
        <v>0.16659618240458873</v>
      </c>
      <c r="D53" s="161">
        <f>IF('Company Info'!$A$62=0," ",IF('Company Info'!$A$70=0," ",LOGEST('Company Info'!$A$62:'Company Info'!$A$70)-1))</f>
        <v>0.16301421127561433</v>
      </c>
      <c r="E53" s="161">
        <f>IF('Company Info'!$A$63=0," ",IF('Company Info'!$A$70=0," ",LOGEST('Company Info'!$A$63:'Company Info'!$A$70)-1))</f>
        <v>0.16269284576921073</v>
      </c>
      <c r="F53" s="161">
        <f>IF('Company Info'!$A$64=0," ",IF('Company Info'!$A$70=0," ",LOGEST('Company Info'!$A$64:'Company Info'!$A$70)-1))</f>
        <v>0.16513162885120236</v>
      </c>
      <c r="G53" s="161">
        <f>IF('Company Info'!$A$65=0," ",IF('Company Info'!$A$70=0," ",LOGEST('Company Info'!$A$65:'Company Info'!$A$70)-1))</f>
        <v>0.17024887370135522</v>
      </c>
      <c r="H53" s="161">
        <f>IF('Company Info'!$A$66=0," ",IF('Company Info'!$A$70=0," ",LOGEST('Company Info'!$A$66:'Company Info'!$A$70)-1))</f>
        <v>0.1834029162186117</v>
      </c>
      <c r="I53" s="161">
        <f>IF('Company Info'!$A$67=0," ",IF('Company Info'!$A$70=0," ",LOGEST('Company Info'!$A$67:'Company Info'!$A$70)-1))</f>
        <v>0.18673306111993404</v>
      </c>
      <c r="J53" s="161">
        <f>IF('Company Info'!$A$68=0," ",IF('Company Info'!$A$70=0," ",LOGEST('Company Info'!$A$68:'Company Info'!$A$70)-1))</f>
        <v>0.16622292655552906</v>
      </c>
      <c r="K53" s="161">
        <f>IF('Company Info'!$A$69=0," ",IF('Company Info'!$A$70=0," ",LOGEST('Company Info'!$A$69:'Company Info'!$A$70)-1))</f>
        <v>0.124215630347974</v>
      </c>
      <c r="L53" s="91" t="s">
        <v>317</v>
      </c>
      <c r="M53" s="92"/>
    </row>
    <row r="54" spans="1:13" ht="12">
      <c r="A54" s="59"/>
      <c r="B54" s="76" t="s">
        <v>314</v>
      </c>
      <c r="C54" s="159">
        <f>IF('Company Info'!$A$185&lt;=0," ",LOGEST('Company Info'!$A$185:'Company Info'!$A$194)-1)</f>
        <v>0.15920469491116007</v>
      </c>
      <c r="D54" s="159">
        <f>IF('Company Info'!$A$186&lt;=0," ",LOGEST('Company Info'!$A$186:'Company Info'!$A$194)-1)</f>
        <v>0.1578427086628289</v>
      </c>
      <c r="E54" s="159">
        <f>IF('Company Info'!$A$187&lt;=0," ",LOGEST('Company Info'!$A$187:'Company Info'!$A$194)-1)</f>
        <v>0.15996967135562468</v>
      </c>
      <c r="F54" s="159">
        <f>IF('Company Info'!$A$188&lt;=0," ",LOGEST('Company Info'!$A$188:'Company Info'!$A$194)-1)</f>
        <v>0.16873097738487064</v>
      </c>
      <c r="G54" s="159">
        <f>IF('Company Info'!$A$189&lt;=0," ",LOGEST('Company Info'!$A$189:'Company Info'!$A$194)-1)</f>
        <v>0.17157565809031494</v>
      </c>
      <c r="H54" s="159">
        <f>IF('Company Info'!$A$190&lt;=0," ",LOGEST('Company Info'!$A$190:'Company Info'!$A$194)-1)</f>
        <v>0.16416287712709976</v>
      </c>
      <c r="I54" s="159">
        <f>IF('Company Info'!$A$191&lt;=0," ",LOGEST('Company Info'!$A$191:'Company Info'!$A$194)-1)</f>
        <v>0.1384089787557763</v>
      </c>
      <c r="J54" s="159">
        <f>IF('Company Info'!$A$192&lt;=0," ",LOGEST('Company Info'!$A$192:'Company Info'!$A$194)-1)</f>
        <v>0.10237638707849173</v>
      </c>
      <c r="K54" s="159">
        <f>IF('Company Info'!$A$193&lt;=0," ",LOGEST('Company Info'!$A$193:'Company Info'!$A$194)-1)</f>
        <v>0.08668730650154743</v>
      </c>
      <c r="L54" s="93" t="s">
        <v>314</v>
      </c>
      <c r="M54" s="95"/>
    </row>
    <row r="55" spans="1:13" ht="12">
      <c r="A55" s="59"/>
      <c r="B55" s="84" t="s">
        <v>310</v>
      </c>
      <c r="C55" s="161">
        <f>IF(OR('Company Info'!$A$165=0,'Company Info'!$A$174=0),"",LOGEST('Company Info'!$A$165:'Company Info'!$A$174)-1)</f>
        <v>0.12394310085538951</v>
      </c>
      <c r="D55" s="161">
        <f>IF(OR('Company Info'!$A$166=0,'Company Info'!$A$174=0),"",LOGEST('Company Info'!$A$166:'Company Info'!$A$174)-1)</f>
        <v>0.10003706159210357</v>
      </c>
      <c r="E55" s="161">
        <f>IF(OR('Company Info'!$A$167=0,'Company Info'!$A$174=0),"",LOGEST('Company Info'!$A$167:'Company Info'!$A$174)-1)</f>
        <v>0.10086380248985494</v>
      </c>
      <c r="F55" s="161">
        <f>IF(OR('Company Info'!$A$168=0,'Company Info'!$A$174=0),"",LOGEST('Company Info'!$A$168:'Company Info'!$A$174)-1)</f>
        <v>0.11890279812287008</v>
      </c>
      <c r="G55" s="161">
        <f>IF(OR('Company Info'!$A$169=0,'Company Info'!$A$174=0),"",LOGEST('Company Info'!$A$169:'Company Info'!$A$174)-1)</f>
        <v>0.15771378360788368</v>
      </c>
      <c r="H55" s="161">
        <f>IF(OR('Company Info'!$A$170=0,'Company Info'!$A$174=0),"",LOGEST('Company Info'!$A$170:'Company Info'!$A$174)-1)</f>
        <v>0.19840094091017813</v>
      </c>
      <c r="I55" s="161">
        <f>IF(OR('Company Info'!$A$171=0,'Company Info'!$A$174=0),"",LOGEST('Company Info'!$A$171:'Company Info'!$A$174)-1)</f>
        <v>0.21411614700520598</v>
      </c>
      <c r="J55" s="161">
        <f>IF(OR('Company Info'!$A$172=0,'Company Info'!$A$174=0),"",LOGEST('Company Info'!$A$172:'Company Info'!$A$174)-1)</f>
        <v>0.05991777638420048</v>
      </c>
      <c r="K55" s="161">
        <f>IF(OR('Company Info'!$A$173=0,'Company Info'!$A$174=0),"",LOGEST('Company Info'!$A$173:'Company Info'!$A$174)-1)</f>
        <v>0.19655062280421642</v>
      </c>
      <c r="L55" s="91" t="s">
        <v>310</v>
      </c>
      <c r="M55" s="92"/>
    </row>
    <row r="56" spans="1:13" ht="12">
      <c r="A56" s="59"/>
      <c r="B56" s="97"/>
      <c r="C56" s="97"/>
      <c r="D56" s="98"/>
      <c r="E56" s="70" t="s">
        <v>210</v>
      </c>
      <c r="F56" s="99">
        <f>'Company Info'!$A$229</f>
        <v>0.14</v>
      </c>
      <c r="G56" s="98"/>
      <c r="H56" s="100"/>
      <c r="I56" s="69" t="s">
        <v>211</v>
      </c>
      <c r="J56" s="97"/>
      <c r="K56" s="101">
        <f>IF(('Company Info'!$A$109)&lt;=0,"n/a",('Company Info'!$A$109))</f>
        <v>3.435</v>
      </c>
      <c r="L56" s="61"/>
      <c r="M56" s="102"/>
    </row>
    <row r="57" spans="1:13" ht="12">
      <c r="A57" s="59"/>
      <c r="F57" s="59"/>
      <c r="G57" s="59"/>
      <c r="H57" s="103"/>
      <c r="I57" s="59"/>
      <c r="J57" s="104"/>
      <c r="K57" s="59"/>
      <c r="L57" s="59"/>
      <c r="M57" s="94"/>
    </row>
    <row r="58" spans="1:13" ht="12">
      <c r="A58" s="59"/>
      <c r="F58" s="59"/>
      <c r="G58" s="59"/>
      <c r="H58" s="103"/>
      <c r="I58" s="59"/>
      <c r="J58" s="104"/>
      <c r="K58" s="59"/>
      <c r="L58" s="59"/>
      <c r="M58" s="94"/>
    </row>
    <row r="59" spans="1:14" ht="12">
      <c r="A59" s="59"/>
      <c r="B59" s="80"/>
      <c r="C59" s="64"/>
      <c r="D59" s="64"/>
      <c r="E59" s="64"/>
      <c r="F59" s="64"/>
      <c r="G59" s="64"/>
      <c r="H59" s="79"/>
      <c r="I59" s="79"/>
      <c r="J59" s="79"/>
      <c r="K59" s="79"/>
      <c r="L59" s="64"/>
      <c r="M59" s="105"/>
      <c r="N59" s="106"/>
    </row>
    <row r="60" spans="1:15" s="63" customFormat="1" ht="11.25">
      <c r="A60" s="59"/>
      <c r="B60" s="144" t="s">
        <v>78</v>
      </c>
      <c r="C60" s="181" t="s">
        <v>215</v>
      </c>
      <c r="D60" s="181" t="s">
        <v>216</v>
      </c>
      <c r="E60" s="181" t="s">
        <v>217</v>
      </c>
      <c r="F60" s="181" t="s">
        <v>218</v>
      </c>
      <c r="G60" s="181" t="s">
        <v>219</v>
      </c>
      <c r="H60" s="181" t="s">
        <v>347</v>
      </c>
      <c r="I60" s="181" t="s">
        <v>220</v>
      </c>
      <c r="J60" s="181" t="s">
        <v>221</v>
      </c>
      <c r="K60" s="181" t="s">
        <v>222</v>
      </c>
      <c r="L60" s="60"/>
      <c r="M60" s="60"/>
      <c r="N60" s="172"/>
      <c r="O60" s="182"/>
    </row>
    <row r="61" spans="1:15" ht="12">
      <c r="A61" s="59"/>
      <c r="B61" s="104">
        <f>'Company Info'!$A$94-9</f>
        <v>1992</v>
      </c>
      <c r="C61" s="108">
        <f>'Company Info'!$A$1</f>
        <v>16.469</v>
      </c>
      <c r="D61" s="108">
        <f>'Company Info'!$A$11</f>
        <v>12.531</v>
      </c>
      <c r="E61" s="108">
        <f>'Company Info'!$A$71</f>
        <v>0.435</v>
      </c>
      <c r="F61" s="164">
        <f>IF(E61&lt;=0,"n/a",C61/E61)</f>
        <v>37.859770114942535</v>
      </c>
      <c r="G61" s="164">
        <f>IF(E61&lt;=0,"n/a",D61/E61)</f>
        <v>28.80689655172414</v>
      </c>
      <c r="H61" s="164">
        <f>IF(E61&lt;=0,"n/a",AVERAGE(F61:G61))</f>
        <v>33.333333333333336</v>
      </c>
      <c r="I61" s="109">
        <f>'Company Info'!$A$81</f>
        <v>0.052</v>
      </c>
      <c r="J61" s="162">
        <f>IF(I61=0,"n/a",I61/E61)</f>
        <v>0.11954022988505747</v>
      </c>
      <c r="K61" s="162">
        <f>IF(I61=0,"n/a",I61/D61)</f>
        <v>0.0041497087223685255</v>
      </c>
      <c r="L61" s="105">
        <f>'Company Info'!$A$94-9</f>
        <v>1992</v>
      </c>
      <c r="M61" s="104"/>
      <c r="N61" s="104"/>
      <c r="O61" s="107"/>
    </row>
    <row r="62" spans="1:15" ht="12">
      <c r="A62" s="59"/>
      <c r="B62" s="110">
        <f>'Company Info'!$A$94-8</f>
        <v>1993</v>
      </c>
      <c r="C62" s="111">
        <f>'Company Info'!$A$2</f>
        <v>17.062</v>
      </c>
      <c r="D62" s="111">
        <f>'Company Info'!$A$12</f>
        <v>11.5</v>
      </c>
      <c r="E62" s="111">
        <f>'Company Info'!$A$72</f>
        <v>0.51</v>
      </c>
      <c r="F62" s="165">
        <f aca="true" t="shared" si="1" ref="F62:F70">IF(E62&lt;=0,"n/a",C62/E62)</f>
        <v>33.45490196078431</v>
      </c>
      <c r="G62" s="165">
        <f aca="true" t="shared" si="2" ref="G62:G70">IF(E62&lt;=0,"n/a",D62/E62)</f>
        <v>22.549019607843135</v>
      </c>
      <c r="H62" s="165">
        <f aca="true" t="shared" si="3" ref="H62:H70">IF(E62&lt;=0,"n/a",AVERAGE(F62:G62))</f>
        <v>28.001960784313724</v>
      </c>
      <c r="I62" s="112">
        <f>'Company Info'!$A$82</f>
        <v>0.065</v>
      </c>
      <c r="J62" s="163">
        <f aca="true" t="shared" si="4" ref="J62:J70">IF(I62=0,"n/a",I62/E62)</f>
        <v>0.12745098039215685</v>
      </c>
      <c r="K62" s="163">
        <f aca="true" t="shared" si="5" ref="K62:K70">IF(I62=0,"n/a",I62/D62)</f>
        <v>0.005652173913043478</v>
      </c>
      <c r="L62" s="113">
        <f>'Company Info'!$A$94-8</f>
        <v>1993</v>
      </c>
      <c r="M62" s="110"/>
      <c r="N62" s="104"/>
      <c r="O62" s="107"/>
    </row>
    <row r="63" spans="1:15" ht="12">
      <c r="A63" s="59"/>
      <c r="B63" s="104">
        <f>'Company Info'!$A$94-7</f>
        <v>1994</v>
      </c>
      <c r="C63" s="108">
        <f>'Company Info'!$A$3</f>
        <v>14.625</v>
      </c>
      <c r="D63" s="108">
        <f>'Company Info'!$A$13</f>
        <v>10.25</v>
      </c>
      <c r="E63" s="108">
        <f>'Company Info'!$A$73</f>
        <v>0.585</v>
      </c>
      <c r="F63" s="164">
        <f t="shared" si="1"/>
        <v>25</v>
      </c>
      <c r="G63" s="164">
        <f t="shared" si="2"/>
        <v>17.521367521367523</v>
      </c>
      <c r="H63" s="164">
        <f t="shared" si="3"/>
        <v>21.26068376068376</v>
      </c>
      <c r="I63" s="109">
        <f>'Company Info'!$A$83</f>
        <v>0.085</v>
      </c>
      <c r="J63" s="162">
        <f t="shared" si="4"/>
        <v>0.1452991452991453</v>
      </c>
      <c r="K63" s="162">
        <f t="shared" si="5"/>
        <v>0.008292682926829269</v>
      </c>
      <c r="L63" s="105">
        <f>'Company Info'!$A$94-7</f>
        <v>1994</v>
      </c>
      <c r="M63" s="104"/>
      <c r="N63" s="104"/>
      <c r="O63" s="107"/>
    </row>
    <row r="64" spans="1:15" ht="12">
      <c r="A64" s="59"/>
      <c r="B64" s="110">
        <f>'Company Info'!$A$94-6</f>
        <v>1995</v>
      </c>
      <c r="C64" s="111">
        <f>'Company Info'!$A$4</f>
        <v>13.812</v>
      </c>
      <c r="D64" s="111">
        <f>'Company Info'!$A$14</f>
        <v>9.562</v>
      </c>
      <c r="E64" s="111">
        <f>'Company Info'!$A$74</f>
        <v>0.595</v>
      </c>
      <c r="F64" s="165">
        <f t="shared" si="1"/>
        <v>23.21344537815126</v>
      </c>
      <c r="G64" s="165">
        <f t="shared" si="2"/>
        <v>16.070588235294117</v>
      </c>
      <c r="H64" s="165">
        <f t="shared" si="3"/>
        <v>19.642016806722687</v>
      </c>
      <c r="I64" s="112">
        <f>'Company Info'!$A$84</f>
        <v>0.1</v>
      </c>
      <c r="J64" s="163">
        <f t="shared" si="4"/>
        <v>0.16806722689075632</v>
      </c>
      <c r="K64" s="163">
        <f t="shared" si="5"/>
        <v>0.010458063166701528</v>
      </c>
      <c r="L64" s="113">
        <f>'Company Info'!$A$94-6</f>
        <v>1995</v>
      </c>
      <c r="M64" s="110"/>
      <c r="N64" s="104"/>
      <c r="O64" s="107"/>
    </row>
    <row r="65" spans="1:15" ht="12">
      <c r="A65" s="59"/>
      <c r="B65" s="104">
        <f>'Company Info'!$A$94-5</f>
        <v>1996</v>
      </c>
      <c r="C65" s="108">
        <f>'Company Info'!$A$5</f>
        <v>14.125</v>
      </c>
      <c r="D65" s="108">
        <f>'Company Info'!$A$15</f>
        <v>10.062</v>
      </c>
      <c r="E65" s="108">
        <f>'Company Info'!$A$75</f>
        <v>0.665</v>
      </c>
      <c r="F65" s="164">
        <f t="shared" si="1"/>
        <v>21.240601503759397</v>
      </c>
      <c r="G65" s="164">
        <f t="shared" si="2"/>
        <v>15.130827067669172</v>
      </c>
      <c r="H65" s="164">
        <f t="shared" si="3"/>
        <v>18.185714285714283</v>
      </c>
      <c r="I65" s="109">
        <f>'Company Info'!$A$85</f>
        <v>0.105</v>
      </c>
      <c r="J65" s="162">
        <f t="shared" si="4"/>
        <v>0.15789473684210525</v>
      </c>
      <c r="K65" s="162">
        <f t="shared" si="5"/>
        <v>0.010435301132975552</v>
      </c>
      <c r="L65" s="105">
        <f>'Company Info'!$A$94-5</f>
        <v>1996</v>
      </c>
      <c r="M65" s="104"/>
      <c r="N65" s="104"/>
      <c r="O65" s="107"/>
    </row>
    <row r="66" spans="1:15" ht="12">
      <c r="A66" s="59"/>
      <c r="B66" s="110">
        <f>'Company Info'!$A$94-4</f>
        <v>1997</v>
      </c>
      <c r="C66" s="111">
        <f>'Company Info'!$A$6</f>
        <v>20.968</v>
      </c>
      <c r="D66" s="111">
        <f>'Company Info'!$A$16</f>
        <v>11.5</v>
      </c>
      <c r="E66" s="111">
        <f>'Company Info'!$A$76</f>
        <v>0.78</v>
      </c>
      <c r="F66" s="165">
        <f t="shared" si="1"/>
        <v>26.882051282051282</v>
      </c>
      <c r="G66" s="165">
        <f t="shared" si="2"/>
        <v>14.743589743589743</v>
      </c>
      <c r="H66" s="165">
        <f t="shared" si="3"/>
        <v>20.81282051282051</v>
      </c>
      <c r="I66" s="112">
        <f>'Company Info'!$A$86</f>
        <v>0.135</v>
      </c>
      <c r="J66" s="163">
        <f t="shared" si="4"/>
        <v>0.17307692307692307</v>
      </c>
      <c r="K66" s="163">
        <f t="shared" si="5"/>
        <v>0.01173913043478261</v>
      </c>
      <c r="L66" s="113">
        <f>'Company Info'!$A$94-4</f>
        <v>1997</v>
      </c>
      <c r="M66" s="110"/>
      <c r="O66" s="68"/>
    </row>
    <row r="67" spans="1:15" ht="12">
      <c r="A67" s="59"/>
      <c r="B67" s="104">
        <f>'Company Info'!$A$94-3</f>
        <v>1998</v>
      </c>
      <c r="C67" s="108">
        <f>'Company Info'!$A$7</f>
        <v>43.219</v>
      </c>
      <c r="D67" s="108">
        <f>'Company Info'!$A$17</f>
        <v>20.093</v>
      </c>
      <c r="E67" s="108">
        <f>'Company Info'!$A$77</f>
        <v>0.99</v>
      </c>
      <c r="F67" s="164">
        <f t="shared" si="1"/>
        <v>43.65555555555556</v>
      </c>
      <c r="G67" s="164">
        <f t="shared" si="2"/>
        <v>20.295959595959594</v>
      </c>
      <c r="H67" s="164">
        <f t="shared" si="3"/>
        <v>31.975757575757576</v>
      </c>
      <c r="I67" s="109">
        <f>'Company Info'!$A$87</f>
        <v>0.155</v>
      </c>
      <c r="J67" s="162">
        <f t="shared" si="4"/>
        <v>0.15656565656565657</v>
      </c>
      <c r="K67" s="162">
        <f t="shared" si="5"/>
        <v>0.007714129298760763</v>
      </c>
      <c r="L67" s="105">
        <f>'Company Info'!$A$94-3</f>
        <v>1998</v>
      </c>
      <c r="M67" s="104"/>
      <c r="O67" s="68"/>
    </row>
    <row r="68" spans="1:15" ht="12">
      <c r="A68" s="59"/>
      <c r="B68" s="110">
        <f>'Company Info'!$A$94-2</f>
        <v>1999</v>
      </c>
      <c r="C68" s="111">
        <f>'Company Info'!$A$8</f>
        <v>70.25</v>
      </c>
      <c r="D68" s="111">
        <f>'Company Info'!$A$18</f>
        <v>38.875</v>
      </c>
      <c r="E68" s="111">
        <f>'Company Info'!$A$78</f>
        <v>1.28</v>
      </c>
      <c r="F68" s="165">
        <f t="shared" si="1"/>
        <v>54.8828125</v>
      </c>
      <c r="G68" s="165">
        <f t="shared" si="2"/>
        <v>30.37109375</v>
      </c>
      <c r="H68" s="165">
        <f t="shared" si="3"/>
        <v>42.626953125</v>
      </c>
      <c r="I68" s="112">
        <f>'Company Info'!$A$88</f>
        <v>0.2</v>
      </c>
      <c r="J68" s="163">
        <f t="shared" si="4"/>
        <v>0.15625</v>
      </c>
      <c r="K68" s="163">
        <f t="shared" si="5"/>
        <v>0.005144694533762058</v>
      </c>
      <c r="L68" s="113">
        <f>'Company Info'!$A$94-2</f>
        <v>1999</v>
      </c>
      <c r="M68" s="110"/>
      <c r="O68" s="68"/>
    </row>
    <row r="69" spans="1:15" ht="12">
      <c r="A69" s="59"/>
      <c r="B69" s="104">
        <f>'Company Info'!$A$94-1</f>
        <v>2000</v>
      </c>
      <c r="C69" s="108">
        <f>'Company Info'!$A$9</f>
        <v>64.938</v>
      </c>
      <c r="D69" s="108">
        <f>'Company Info'!$A$19</f>
        <v>41.438</v>
      </c>
      <c r="E69" s="108">
        <f>'Company Info'!$A$79</f>
        <v>1.4</v>
      </c>
      <c r="F69" s="164">
        <f t="shared" si="1"/>
        <v>46.38428571428572</v>
      </c>
      <c r="G69" s="164">
        <f t="shared" si="2"/>
        <v>29.598571428571432</v>
      </c>
      <c r="H69" s="164">
        <f t="shared" si="3"/>
        <v>37.99142857142857</v>
      </c>
      <c r="I69" s="109">
        <f>'Company Info'!$A$89</f>
        <v>0.24</v>
      </c>
      <c r="J69" s="162">
        <f t="shared" si="4"/>
        <v>0.17142857142857143</v>
      </c>
      <c r="K69" s="162">
        <f t="shared" si="5"/>
        <v>0.005791785317824219</v>
      </c>
      <c r="L69" s="105">
        <f>'Company Info'!$A$94-1</f>
        <v>2000</v>
      </c>
      <c r="M69" s="104"/>
      <c r="O69" s="68"/>
    </row>
    <row r="70" spans="1:15" ht="12">
      <c r="A70" s="59"/>
      <c r="B70" s="110">
        <f>'Company Info'!$A$94</f>
        <v>2001</v>
      </c>
      <c r="C70" s="111">
        <f>'Company Info'!$A$10</f>
        <v>59.98</v>
      </c>
      <c r="D70" s="111">
        <f>'Company Info'!$A$20</f>
        <v>41.5</v>
      </c>
      <c r="E70" s="111">
        <f>'Company Info'!$A$80</f>
        <v>1.49</v>
      </c>
      <c r="F70" s="165">
        <f t="shared" si="1"/>
        <v>40.25503355704698</v>
      </c>
      <c r="G70" s="165">
        <f t="shared" si="2"/>
        <v>27.85234899328859</v>
      </c>
      <c r="H70" s="165">
        <f t="shared" si="3"/>
        <v>34.053691275167786</v>
      </c>
      <c r="I70" s="112">
        <f>'Company Info'!$A$90</f>
        <v>0.28</v>
      </c>
      <c r="J70" s="163">
        <f t="shared" si="4"/>
        <v>0.18791946308724833</v>
      </c>
      <c r="K70" s="163">
        <f t="shared" si="5"/>
        <v>0.00674698795180723</v>
      </c>
      <c r="L70" s="113">
        <f>'Company Info'!$A$94</f>
        <v>2001</v>
      </c>
      <c r="M70" s="110"/>
      <c r="O70" s="68"/>
    </row>
    <row r="71" spans="1:15" ht="12">
      <c r="A71" s="59"/>
      <c r="B71" s="114"/>
      <c r="C71" s="114" t="s">
        <v>327</v>
      </c>
      <c r="D71" s="152">
        <f>AVERAGE(D61:D70)</f>
        <v>20.7311</v>
      </c>
      <c r="E71" s="115"/>
      <c r="F71" s="154">
        <f>AVERAGE(F61:F70)</f>
        <v>35.28284575665771</v>
      </c>
      <c r="G71" s="154">
        <f>AVERAGE(G61:G70)</f>
        <v>22.29402624953074</v>
      </c>
      <c r="H71" s="154">
        <f>AVERAGE(H61:H70)</f>
        <v>28.788436003094223</v>
      </c>
      <c r="I71" s="115"/>
      <c r="J71" s="156">
        <f>IF('Company Info'!$A$90=0,"n/a",AVERAGE(J61:J70))</f>
        <v>0.15634929334676206</v>
      </c>
      <c r="K71" s="116"/>
      <c r="L71" s="97"/>
      <c r="M71" s="97"/>
      <c r="O71" s="68"/>
    </row>
    <row r="72" spans="1:15" ht="12">
      <c r="A72" s="59"/>
      <c r="B72" s="117"/>
      <c r="C72" s="117" t="s">
        <v>328</v>
      </c>
      <c r="D72" s="153">
        <f>AVERAGE(D66:D70)</f>
        <v>30.6812</v>
      </c>
      <c r="E72" s="118"/>
      <c r="F72" s="155">
        <f>AVERAGE(F66:F70)</f>
        <v>42.41194772178791</v>
      </c>
      <c r="G72" s="155">
        <f>AVERAGE(G66:G70)</f>
        <v>24.57231270228187</v>
      </c>
      <c r="H72" s="155">
        <f>AVERAGE(H66:H70)</f>
        <v>33.492130212034894</v>
      </c>
      <c r="I72" s="118"/>
      <c r="J72" s="157">
        <f>IF('Company Info'!$A$90=0,"n/a",AVERAGE(J66:J70))</f>
        <v>0.1690481228316799</v>
      </c>
      <c r="K72" s="116"/>
      <c r="L72" s="97"/>
      <c r="M72" s="97"/>
      <c r="O72" s="68"/>
    </row>
    <row r="73" spans="1:15" ht="12">
      <c r="A73" s="59"/>
      <c r="B73" s="114"/>
      <c r="C73" s="114" t="s">
        <v>329</v>
      </c>
      <c r="D73" s="152">
        <f>(D66+2*D67+3*D68+4*D69+5*D70)/15</f>
        <v>36.1042</v>
      </c>
      <c r="E73" s="115"/>
      <c r="F73" s="154">
        <f>(F66+2*F67+3*F68+4*F69+5*F70)/15</f>
        <v>44.37692736903601</v>
      </c>
      <c r="G73" s="154">
        <f>(G66+2*G67+3*G68+4*G69+5*G70)/15</f>
        <v>26.94032139108251</v>
      </c>
      <c r="H73" s="154">
        <f>(H66+2*H67+3*H68+4*H69+5*H70)/15</f>
        <v>35.65862438005926</v>
      </c>
      <c r="I73" s="115"/>
      <c r="J73" s="156">
        <f>IF('Company Info'!$A$90=0,"n/a",((J66+2*J67+3*J68+4*J69+5*J70)/15))</f>
        <v>0.17201798915725092</v>
      </c>
      <c r="K73" s="119" t="s">
        <v>104</v>
      </c>
      <c r="L73" s="97"/>
      <c r="M73" s="97"/>
      <c r="O73" s="68"/>
    </row>
    <row r="74" spans="1:15" ht="12">
      <c r="A74" s="59"/>
      <c r="B74" s="114"/>
      <c r="C74" s="114" t="s">
        <v>330</v>
      </c>
      <c r="D74" s="152">
        <f>(5*D66+4*D67+3*D68+2*D69+D70)/15</f>
        <v>25.258200000000002</v>
      </c>
      <c r="E74" s="115"/>
      <c r="F74" s="154">
        <f>(5*F66+4*F67+3*F68+2*F69+F70)/15</f>
        <v>40.446968074539804</v>
      </c>
      <c r="G74" s="154">
        <f>(5*G66+4*G67+3*G68+2*G69+G70)/15</f>
        <v>22.204304013481238</v>
      </c>
      <c r="H74" s="154">
        <f>(5*H66+4*H67+3*H68+2*H69+H70)/15</f>
        <v>31.325636044010523</v>
      </c>
      <c r="I74" s="115"/>
      <c r="J74" s="156">
        <f>IF('Company Info'!$A$90=0,"n/a",((5*J66+4*J67+3*J68+2*J69+J70)/15))</f>
        <v>0.16607825650610888</v>
      </c>
      <c r="K74" s="119" t="s">
        <v>105</v>
      </c>
      <c r="L74" s="66"/>
      <c r="M74" s="97"/>
      <c r="O74" s="68"/>
    </row>
    <row r="75" spans="1:14" ht="12">
      <c r="A75" s="59"/>
      <c r="C75" s="59"/>
      <c r="D75" s="120"/>
      <c r="E75" s="121"/>
      <c r="G75" s="120"/>
      <c r="H75" s="122"/>
      <c r="N75" s="68"/>
    </row>
    <row r="76" spans="1:14" ht="12">
      <c r="A76" s="59"/>
      <c r="C76" s="59"/>
      <c r="D76" s="120"/>
      <c r="E76" s="121"/>
      <c r="G76" s="120"/>
      <c r="H76" s="122"/>
      <c r="N76" s="68"/>
    </row>
    <row r="77" spans="1:14" ht="12">
      <c r="A77" s="59"/>
      <c r="C77" s="59"/>
      <c r="D77" s="120"/>
      <c r="E77" s="121"/>
      <c r="G77" s="120"/>
      <c r="H77" s="122"/>
      <c r="N77" s="68"/>
    </row>
    <row r="78" spans="1:13" s="63" customFormat="1" ht="11.25">
      <c r="A78" s="59"/>
      <c r="B78" s="62" t="s">
        <v>364</v>
      </c>
      <c r="C78" s="175" t="s">
        <v>217</v>
      </c>
      <c r="D78" s="175" t="s">
        <v>382</v>
      </c>
      <c r="E78" s="175" t="s">
        <v>135</v>
      </c>
      <c r="F78" s="178" t="s">
        <v>396</v>
      </c>
      <c r="G78" s="178" t="s">
        <v>120</v>
      </c>
      <c r="H78" s="178" t="s">
        <v>121</v>
      </c>
      <c r="I78" s="178" t="s">
        <v>137</v>
      </c>
      <c r="J78" s="175" t="s">
        <v>122</v>
      </c>
      <c r="K78" s="174"/>
      <c r="L78" s="174"/>
      <c r="M78" s="174"/>
    </row>
    <row r="79" spans="1:14" ht="12">
      <c r="A79" s="59"/>
      <c r="B79" s="227">
        <f aca="true" t="shared" si="6" ref="B79:B96">DATE(YEAR(B80),MONTH(B80)-2,1)-1</f>
        <v>35915</v>
      </c>
      <c r="C79" s="129">
        <f>'Company Info'!$A414</f>
        <v>0.185</v>
      </c>
      <c r="D79" s="129"/>
      <c r="E79" s="136">
        <f>'Company Info'!$A402</f>
        <v>29819</v>
      </c>
      <c r="F79" s="263" t="s">
        <v>123</v>
      </c>
      <c r="G79" s="137">
        <f>'Company Info'!$A426</f>
        <v>1364</v>
      </c>
      <c r="H79" s="140">
        <f aca="true" t="shared" si="7" ref="H79:H84">G79*(1-I79)</f>
        <v>834.34516</v>
      </c>
      <c r="I79" s="138">
        <f>'Company Info'!A458/100</f>
        <v>0.38831000000000004</v>
      </c>
      <c r="J79" s="129">
        <f>'Company Info'!$A438</f>
        <v>4471.422</v>
      </c>
      <c r="K79" s="96"/>
      <c r="L79" s="227">
        <f aca="true" t="shared" si="8" ref="L79:L97">B79</f>
        <v>35915</v>
      </c>
      <c r="M79" s="96"/>
      <c r="N79" s="229"/>
    </row>
    <row r="80" spans="1:13" ht="12">
      <c r="A80" s="59"/>
      <c r="B80" s="226">
        <f t="shared" si="6"/>
        <v>36007</v>
      </c>
      <c r="C80" s="125">
        <f>'Company Info'!$A415</f>
        <v>0.23</v>
      </c>
      <c r="D80" s="124"/>
      <c r="E80" s="123">
        <f>'Company Info'!$A403</f>
        <v>33521</v>
      </c>
      <c r="F80" s="264" t="s">
        <v>123</v>
      </c>
      <c r="G80" s="134">
        <f>'Company Info'!$A427</f>
        <v>1696</v>
      </c>
      <c r="H80" s="139">
        <f t="shared" si="7"/>
        <v>1036.37472</v>
      </c>
      <c r="I80" s="127">
        <f>'Company Info'!A459/100</f>
        <v>0.38893</v>
      </c>
      <c r="J80" s="124">
        <f>'Company Info'!$A439</f>
        <v>4505.702</v>
      </c>
      <c r="K80" s="64"/>
      <c r="L80" s="226">
        <f t="shared" si="8"/>
        <v>36007</v>
      </c>
      <c r="M80" s="95"/>
    </row>
    <row r="81" spans="1:13" ht="12">
      <c r="A81" s="59"/>
      <c r="B81" s="227">
        <f t="shared" si="6"/>
        <v>36099</v>
      </c>
      <c r="C81" s="130">
        <f>'Company Info'!$A416</f>
        <v>0.225</v>
      </c>
      <c r="D81" s="129"/>
      <c r="E81" s="128">
        <f>'Company Info'!$A404</f>
        <v>33509</v>
      </c>
      <c r="F81" s="265" t="s">
        <v>123</v>
      </c>
      <c r="G81" s="137">
        <f>'Company Info'!$A428</f>
        <v>1651</v>
      </c>
      <c r="H81" s="140">
        <f t="shared" si="7"/>
        <v>1011.1549499999999</v>
      </c>
      <c r="I81" s="132">
        <f>'Company Info'!A460/100</f>
        <v>0.38755</v>
      </c>
      <c r="J81" s="129">
        <f>'Company Info'!$A440</f>
        <v>4446.908</v>
      </c>
      <c r="K81" s="96"/>
      <c r="L81" s="227">
        <f t="shared" si="8"/>
        <v>36099</v>
      </c>
      <c r="M81" s="96"/>
    </row>
    <row r="82" spans="1:13" ht="12">
      <c r="A82" s="59"/>
      <c r="B82" s="226">
        <f t="shared" si="6"/>
        <v>36191</v>
      </c>
      <c r="C82" s="125">
        <f>'Company Info'!$A417</f>
        <v>0.35</v>
      </c>
      <c r="D82" s="124">
        <f aca="true" t="shared" si="9" ref="D82:D97">SUM(C79:C82)</f>
        <v>0.99</v>
      </c>
      <c r="E82" s="123">
        <f>'Company Info'!$A405</f>
        <v>40785</v>
      </c>
      <c r="F82" s="264" t="s">
        <v>123</v>
      </c>
      <c r="G82" s="134">
        <f>'Company Info'!$A429</f>
        <v>2612</v>
      </c>
      <c r="H82" s="139">
        <f t="shared" si="7"/>
        <v>1569.39408</v>
      </c>
      <c r="I82" s="127">
        <f>'Company Info'!A461/100</f>
        <v>0.39915999999999996</v>
      </c>
      <c r="J82" s="124">
        <f>'Company Info'!$A441</f>
        <v>4448</v>
      </c>
      <c r="K82" s="64"/>
      <c r="L82" s="226">
        <f t="shared" si="8"/>
        <v>36191</v>
      </c>
      <c r="M82" s="95"/>
    </row>
    <row r="83" spans="1:13" ht="12">
      <c r="A83" s="59"/>
      <c r="B83" s="227">
        <f t="shared" si="6"/>
        <v>36280</v>
      </c>
      <c r="C83" s="129">
        <f>'Company Info'!$A418</f>
        <v>0.25</v>
      </c>
      <c r="D83" s="129">
        <f t="shared" si="9"/>
        <v>1.055</v>
      </c>
      <c r="E83" s="136">
        <f>'Company Info'!$A406</f>
        <v>34717</v>
      </c>
      <c r="F83" s="263" t="s">
        <v>123</v>
      </c>
      <c r="G83" s="137">
        <f>'Company Info'!$A430</f>
        <v>1809</v>
      </c>
      <c r="H83" s="140">
        <f t="shared" si="7"/>
        <v>1117.99818</v>
      </c>
      <c r="I83" s="138">
        <f>'Company Info'!A462/100</f>
        <v>0.38198</v>
      </c>
      <c r="J83" s="129">
        <f>'Company Info'!$A442</f>
        <v>4450.134</v>
      </c>
      <c r="K83" s="96"/>
      <c r="L83" s="227">
        <f t="shared" si="8"/>
        <v>36280</v>
      </c>
      <c r="M83" s="96"/>
    </row>
    <row r="84" spans="1:13" ht="12">
      <c r="A84" s="59"/>
      <c r="B84" s="228">
        <f t="shared" si="6"/>
        <v>36372</v>
      </c>
      <c r="C84" s="124">
        <f>'Company Info'!$A419</f>
        <v>0.31</v>
      </c>
      <c r="D84" s="124">
        <f t="shared" si="9"/>
        <v>1.135</v>
      </c>
      <c r="E84" s="133">
        <f>'Company Info'!$A407</f>
        <v>38470</v>
      </c>
      <c r="F84" s="266" t="s">
        <v>123</v>
      </c>
      <c r="G84" s="134">
        <f>'Company Info'!$A431</f>
        <v>2026</v>
      </c>
      <c r="H84" s="139">
        <f t="shared" si="7"/>
        <v>1386.63492</v>
      </c>
      <c r="I84" s="135">
        <f>'Company Info'!A463/100</f>
        <v>0.31557999999999997</v>
      </c>
      <c r="J84" s="124">
        <f>'Company Info'!$A443</f>
        <v>4448.731</v>
      </c>
      <c r="K84" s="64"/>
      <c r="L84" s="228">
        <f t="shared" si="8"/>
        <v>36372</v>
      </c>
      <c r="M84" s="95"/>
    </row>
    <row r="85" spans="1:13" ht="12">
      <c r="A85" s="59"/>
      <c r="B85" s="227">
        <f t="shared" si="6"/>
        <v>36464</v>
      </c>
      <c r="C85" s="129">
        <f>'Company Info'!$A420</f>
        <v>0.29</v>
      </c>
      <c r="D85" s="129">
        <f t="shared" si="9"/>
        <v>1.2</v>
      </c>
      <c r="E85" s="136">
        <f>'Company Info'!$A408</f>
        <v>40432</v>
      </c>
      <c r="F85" s="263" t="s">
        <v>123</v>
      </c>
      <c r="G85" s="137">
        <f>'Company Info'!$A432</f>
        <v>2069</v>
      </c>
      <c r="H85" s="140">
        <f aca="true" t="shared" si="10" ref="H85:H90">G85*(1-I85)</f>
        <v>1297.75956</v>
      </c>
      <c r="I85" s="138">
        <f>'Company Info'!A464/100</f>
        <v>0.37276000000000004</v>
      </c>
      <c r="J85" s="129">
        <f>'Company Info'!$A444</f>
        <v>4453.743</v>
      </c>
      <c r="K85" s="96"/>
      <c r="L85" s="227">
        <f t="shared" si="8"/>
        <v>36464</v>
      </c>
      <c r="M85" s="96"/>
    </row>
    <row r="86" spans="1:13" ht="12">
      <c r="A86" s="59"/>
      <c r="B86" s="226">
        <f t="shared" si="6"/>
        <v>36556</v>
      </c>
      <c r="C86" s="124">
        <f>'Company Info'!$A421</f>
        <v>0.43</v>
      </c>
      <c r="D86" s="124">
        <f t="shared" si="9"/>
        <v>1.28</v>
      </c>
      <c r="E86" s="133">
        <f>'Company Info'!$A409</f>
        <v>51394</v>
      </c>
      <c r="F86" s="266" t="s">
        <v>123</v>
      </c>
      <c r="G86" s="134">
        <f>'Company Info'!$A433</f>
        <v>3179</v>
      </c>
      <c r="H86" s="139">
        <f t="shared" si="10"/>
        <v>1925.9653600000001</v>
      </c>
      <c r="I86" s="135">
        <f>'Company Info'!A465/100</f>
        <v>0.39415999999999995</v>
      </c>
      <c r="J86" s="124">
        <f>'Company Info'!$A445</f>
        <v>4457</v>
      </c>
      <c r="K86" s="64"/>
      <c r="L86" s="226">
        <f t="shared" si="8"/>
        <v>36556</v>
      </c>
      <c r="M86" s="95"/>
    </row>
    <row r="87" spans="1:13" ht="12">
      <c r="A87" s="59"/>
      <c r="B87" s="227">
        <f t="shared" si="6"/>
        <v>36646</v>
      </c>
      <c r="C87" s="129">
        <f>'Company Info'!$A422</f>
        <v>0.3</v>
      </c>
      <c r="D87" s="129">
        <f t="shared" si="9"/>
        <v>1.33</v>
      </c>
      <c r="E87" s="136">
        <f>'Company Info'!$A410</f>
        <v>42985</v>
      </c>
      <c r="F87" s="263" t="s">
        <v>123</v>
      </c>
      <c r="G87" s="137">
        <f>'Company Info'!$A434</f>
        <v>2134</v>
      </c>
      <c r="H87" s="140">
        <f t="shared" si="10"/>
        <v>1343.3956799999999</v>
      </c>
      <c r="I87" s="138">
        <f>'Company Info'!A466/100</f>
        <v>0.37048000000000003</v>
      </c>
      <c r="J87" s="129">
        <f>'Company Info'!$A446</f>
        <v>4465.877</v>
      </c>
      <c r="K87" s="96"/>
      <c r="L87" s="227">
        <f t="shared" si="8"/>
        <v>36646</v>
      </c>
      <c r="M87" s="96"/>
    </row>
    <row r="88" spans="1:13" ht="12">
      <c r="A88" s="59"/>
      <c r="B88" s="226">
        <f t="shared" si="6"/>
        <v>36738</v>
      </c>
      <c r="C88" s="124">
        <f>'Company Info'!$A423</f>
        <v>0.36</v>
      </c>
      <c r="D88" s="124">
        <f t="shared" si="9"/>
        <v>1.38</v>
      </c>
      <c r="E88" s="133">
        <f>'Company Info'!$A411</f>
        <v>46112</v>
      </c>
      <c r="F88" s="266" t="s">
        <v>123</v>
      </c>
      <c r="G88" s="134">
        <f>'Company Info'!$A435</f>
        <v>2575</v>
      </c>
      <c r="H88" s="139">
        <f t="shared" si="10"/>
        <v>1615.3232500000001</v>
      </c>
      <c r="I88" s="135">
        <f>'Company Info'!A467/100</f>
        <v>0.37268999999999997</v>
      </c>
      <c r="J88" s="124">
        <f>'Company Info'!$A447</f>
        <v>4466.336</v>
      </c>
      <c r="K88" s="64"/>
      <c r="L88" s="226">
        <f t="shared" si="8"/>
        <v>36738</v>
      </c>
      <c r="M88" s="95"/>
    </row>
    <row r="89" spans="1:13" ht="12">
      <c r="A89" s="59"/>
      <c r="B89" s="227">
        <f t="shared" si="6"/>
        <v>36830</v>
      </c>
      <c r="C89" s="129">
        <f>'Company Info'!$A424</f>
        <v>0.31</v>
      </c>
      <c r="D89" s="129">
        <f t="shared" si="9"/>
        <v>1.4</v>
      </c>
      <c r="E89" s="136">
        <f>'Company Info'!$A412</f>
        <v>45676</v>
      </c>
      <c r="F89" s="263" t="s">
        <v>123</v>
      </c>
      <c r="G89" s="137">
        <f>'Company Info'!$A436</f>
        <v>2194</v>
      </c>
      <c r="H89" s="140">
        <f t="shared" si="10"/>
        <v>1390.97406</v>
      </c>
      <c r="I89" s="138">
        <f>'Company Info'!A468/100</f>
        <v>0.36601</v>
      </c>
      <c r="J89" s="129">
        <f>'Company Info'!$A448</f>
        <v>4466.664</v>
      </c>
      <c r="K89" s="96"/>
      <c r="L89" s="227">
        <f t="shared" si="8"/>
        <v>36830</v>
      </c>
      <c r="M89" s="96"/>
    </row>
    <row r="90" spans="1:13" ht="12">
      <c r="A90" s="59"/>
      <c r="B90" s="226">
        <f t="shared" si="6"/>
        <v>36922</v>
      </c>
      <c r="C90" s="124">
        <f>'Company Info'!$A425</f>
        <v>0.45</v>
      </c>
      <c r="D90" s="124">
        <f t="shared" si="9"/>
        <v>1.42</v>
      </c>
      <c r="E90" s="133">
        <f>'Company Info'!$A413</f>
        <v>56556</v>
      </c>
      <c r="F90" s="266" t="s">
        <v>123</v>
      </c>
      <c r="G90" s="134">
        <f>'Company Info'!$A437</f>
        <v>3213</v>
      </c>
      <c r="H90" s="139">
        <f t="shared" si="10"/>
        <v>2019.14559</v>
      </c>
      <c r="I90" s="135">
        <f>'Company Info'!A469/100</f>
        <v>0.37156999999999996</v>
      </c>
      <c r="J90" s="124">
        <f>'Company Info'!$A449</f>
        <v>4470</v>
      </c>
      <c r="K90" s="64"/>
      <c r="L90" s="226">
        <f t="shared" si="8"/>
        <v>36922</v>
      </c>
      <c r="M90" s="95"/>
    </row>
    <row r="91" spans="1:13" ht="12">
      <c r="A91" s="59"/>
      <c r="B91" s="227">
        <f t="shared" si="6"/>
        <v>37011</v>
      </c>
      <c r="C91" s="130">
        <f>'Company Info'!A210</f>
        <v>0.31</v>
      </c>
      <c r="D91" s="129">
        <f t="shared" si="9"/>
        <v>1.43</v>
      </c>
      <c r="E91" s="136">
        <f>'Company Info'!A202</f>
        <v>48052</v>
      </c>
      <c r="F91" s="129">
        <f>'Company Info'!A218</f>
        <v>0.07</v>
      </c>
      <c r="G91" s="137">
        <f>'Company Info'!A315</f>
        <v>2220</v>
      </c>
      <c r="H91" s="137">
        <f>'Company Info'!A323</f>
        <v>1390.97</v>
      </c>
      <c r="I91" s="138">
        <f>'Company Info'!A470/100</f>
        <v>0.37344</v>
      </c>
      <c r="J91" s="129">
        <f>'Company Info'!$A450</f>
        <v>4470.958</v>
      </c>
      <c r="K91" s="96"/>
      <c r="L91" s="227">
        <f t="shared" si="8"/>
        <v>37011</v>
      </c>
      <c r="M91" s="96"/>
    </row>
    <row r="92" spans="1:13" ht="12">
      <c r="A92" s="59"/>
      <c r="B92" s="226">
        <f t="shared" si="6"/>
        <v>37103</v>
      </c>
      <c r="C92" s="125">
        <f>'Company Info'!A211</f>
        <v>0.36</v>
      </c>
      <c r="D92" s="124">
        <f t="shared" si="9"/>
        <v>1.4300000000000002</v>
      </c>
      <c r="E92" s="133">
        <f>'Company Info'!A203</f>
        <v>52799</v>
      </c>
      <c r="F92" s="124">
        <f>'Company Info'!A219</f>
        <v>0.07</v>
      </c>
      <c r="G92" s="134">
        <f>'Company Info'!A316</f>
        <v>2612</v>
      </c>
      <c r="H92" s="134">
        <f>'Company Info'!A324</f>
        <v>1614.96</v>
      </c>
      <c r="I92" s="135">
        <f>'Company Info'!A471/100</f>
        <v>0.38171999999999995</v>
      </c>
      <c r="J92" s="124">
        <f>'Company Info'!$A451</f>
        <v>4466.96</v>
      </c>
      <c r="K92" s="64"/>
      <c r="L92" s="226">
        <f t="shared" si="8"/>
        <v>37103</v>
      </c>
      <c r="M92" s="95"/>
    </row>
    <row r="93" spans="1:13" ht="12">
      <c r="A93" s="59"/>
      <c r="B93" s="227">
        <f t="shared" si="6"/>
        <v>37195</v>
      </c>
      <c r="C93" s="129">
        <f>'Company Info'!A212</f>
        <v>0.33</v>
      </c>
      <c r="D93" s="129">
        <f t="shared" si="9"/>
        <v>1.4500000000000002</v>
      </c>
      <c r="E93" s="136">
        <f>'Company Info'!A204</f>
        <v>52737</v>
      </c>
      <c r="F93" s="129">
        <f>'Company Info'!A220</f>
        <v>0.07</v>
      </c>
      <c r="G93" s="137">
        <f>'Company Info'!A317</f>
        <v>2390</v>
      </c>
      <c r="H93" s="137">
        <f>'Company Info'!A325</f>
        <v>1478.73</v>
      </c>
      <c r="I93" s="138">
        <f>'Company Info'!A472/100</f>
        <v>0.38128</v>
      </c>
      <c r="J93" s="129">
        <f>'Company Info'!$A452</f>
        <v>4457.088</v>
      </c>
      <c r="K93" s="96"/>
      <c r="L93" s="227">
        <f t="shared" si="8"/>
        <v>37195</v>
      </c>
      <c r="M93" s="96"/>
    </row>
    <row r="94" spans="1:13" ht="12">
      <c r="A94" s="59"/>
      <c r="B94" s="226">
        <f t="shared" si="6"/>
        <v>37287</v>
      </c>
      <c r="C94" s="124">
        <f>'Company Info'!A213</f>
        <v>0.49</v>
      </c>
      <c r="D94" s="124">
        <f t="shared" si="9"/>
        <v>1.49</v>
      </c>
      <c r="E94" s="133">
        <f>'Company Info'!A205</f>
        <v>64211</v>
      </c>
      <c r="F94" s="124">
        <f>'Company Info'!A221</f>
        <v>0.07</v>
      </c>
      <c r="G94" s="134">
        <f>'Company Info'!A318</f>
        <v>3529</v>
      </c>
      <c r="H94" s="134">
        <f>'Company Info'!A326</f>
        <v>2191.77</v>
      </c>
      <c r="I94" s="135">
        <f>'Company Info'!A473/100</f>
        <v>0.37893</v>
      </c>
      <c r="J94" s="124">
        <f>'Company Info'!$A453</f>
        <v>4453</v>
      </c>
      <c r="K94" s="64"/>
      <c r="L94" s="226">
        <f t="shared" si="8"/>
        <v>37287</v>
      </c>
      <c r="M94" s="95"/>
    </row>
    <row r="95" spans="1:13" ht="12">
      <c r="A95" s="59"/>
      <c r="B95" s="227">
        <f t="shared" si="6"/>
        <v>37376</v>
      </c>
      <c r="C95" s="129">
        <f>'Company Info'!A214</f>
        <v>0.37</v>
      </c>
      <c r="D95" s="129">
        <f t="shared" si="9"/>
        <v>1.5499999999999998</v>
      </c>
      <c r="E95" s="136">
        <f>'Company Info'!A206</f>
        <v>54960</v>
      </c>
      <c r="F95" s="129">
        <f>'Company Info'!A222</f>
        <v>0.075</v>
      </c>
      <c r="G95" s="137">
        <f>'Company Info'!A319</f>
        <v>2625</v>
      </c>
      <c r="H95" s="137">
        <f>'Company Info'!A327</f>
        <v>1653.16</v>
      </c>
      <c r="I95" s="138">
        <f>'Company Info'!A474/100</f>
        <v>0.37022</v>
      </c>
      <c r="J95" s="129">
        <f>'Company Info'!$A454</f>
        <v>4448.04</v>
      </c>
      <c r="K95" s="96"/>
      <c r="L95" s="227">
        <f t="shared" si="8"/>
        <v>37376</v>
      </c>
      <c r="M95" s="96"/>
    </row>
    <row r="96" spans="1:13" ht="12">
      <c r="A96" s="59"/>
      <c r="B96" s="226">
        <f t="shared" si="6"/>
        <v>37468</v>
      </c>
      <c r="C96" s="124">
        <f>'Company Info'!A215</f>
        <v>0.46</v>
      </c>
      <c r="D96" s="124">
        <f t="shared" si="9"/>
        <v>1.65</v>
      </c>
      <c r="E96" s="133">
        <f>'Company Info'!A207</f>
        <v>59694</v>
      </c>
      <c r="F96" s="124">
        <f>'Company Info'!A223</f>
        <v>0.075</v>
      </c>
      <c r="G96" s="134">
        <f>'Company Info'!A320</f>
        <v>3207</v>
      </c>
      <c r="H96" s="134">
        <f>'Company Info'!A328</f>
        <v>2047.92</v>
      </c>
      <c r="I96" s="135">
        <f>'Company Info'!A475/100</f>
        <v>0.36142</v>
      </c>
      <c r="J96" s="124">
        <f>'Company Info'!$A455</f>
        <v>4422.645</v>
      </c>
      <c r="K96" s="64"/>
      <c r="L96" s="226">
        <f t="shared" si="8"/>
        <v>37468</v>
      </c>
      <c r="M96" s="95"/>
    </row>
    <row r="97" spans="1:13" ht="12">
      <c r="A97" s="59"/>
      <c r="B97" s="227">
        <f>DATE(YEAR(B98),MONTH(B98)-2,1)-1</f>
        <v>37560</v>
      </c>
      <c r="C97" s="129">
        <f>'Company Info'!A216</f>
        <v>0.41</v>
      </c>
      <c r="D97" s="129">
        <f t="shared" si="9"/>
        <v>1.73</v>
      </c>
      <c r="E97" s="128">
        <f>'Company Info'!A208</f>
        <v>58797</v>
      </c>
      <c r="F97" s="130">
        <f>'Company Info'!A224</f>
        <v>0.075</v>
      </c>
      <c r="G97" s="131">
        <f>'Company Info'!A321</f>
        <v>2877</v>
      </c>
      <c r="H97" s="131">
        <f>'Company Info'!A329</f>
        <v>1817.94</v>
      </c>
      <c r="I97" s="132">
        <f>'Company Info'!A476/100</f>
        <v>0.36811</v>
      </c>
      <c r="J97" s="129">
        <f>'Company Info'!$A456</f>
        <v>4413.963</v>
      </c>
      <c r="K97" s="96"/>
      <c r="L97" s="227">
        <f t="shared" si="8"/>
        <v>37560</v>
      </c>
      <c r="M97" s="96"/>
    </row>
    <row r="98" spans="1:13" ht="12">
      <c r="A98" s="59"/>
      <c r="B98" s="226">
        <f>'Company Info'!$A$255</f>
        <v>37652</v>
      </c>
      <c r="C98" s="124">
        <f>'Company Info'!A217</f>
        <v>0.57</v>
      </c>
      <c r="D98" s="124">
        <f>SUM(C95:C98)</f>
        <v>1.81</v>
      </c>
      <c r="E98" s="123">
        <f>'Company Info'!A209</f>
        <v>71073</v>
      </c>
      <c r="F98" s="125">
        <f>'Company Info'!A225</f>
        <v>0.075</v>
      </c>
      <c r="G98" s="126">
        <f>'Company Info'!A322</f>
        <v>4010</v>
      </c>
      <c r="H98" s="126">
        <f>'Company Info'!A330</f>
        <v>2514.84</v>
      </c>
      <c r="I98" s="127">
        <f>'Company Info'!A477/100</f>
        <v>0.37286</v>
      </c>
      <c r="J98" s="124">
        <f>'Company Info'!$A457</f>
        <v>4395</v>
      </c>
      <c r="K98" s="64"/>
      <c r="L98" s="226">
        <f>B98</f>
        <v>37652</v>
      </c>
      <c r="M98" s="95"/>
    </row>
    <row r="99" spans="1:13" ht="12">
      <c r="A99" s="59"/>
      <c r="B99" s="141" t="s">
        <v>103</v>
      </c>
      <c r="C99" s="223">
        <f>'Company Info'!$A$255</f>
        <v>37652</v>
      </c>
      <c r="D99" s="97"/>
      <c r="E99" s="97"/>
      <c r="F99" s="97"/>
      <c r="G99" s="97"/>
      <c r="H99" s="97"/>
      <c r="I99" s="97"/>
      <c r="J99" s="97"/>
      <c r="K99" s="97"/>
      <c r="L99" s="97"/>
      <c r="M99" s="97"/>
    </row>
    <row r="100" ht="12">
      <c r="A100" s="59"/>
    </row>
    <row r="101" spans="1:13" ht="12">
      <c r="A101" s="289"/>
      <c r="B101" s="290"/>
      <c r="C101" s="290"/>
      <c r="D101" s="290"/>
      <c r="E101" s="290"/>
      <c r="F101" s="290"/>
      <c r="G101" s="290"/>
      <c r="H101" s="290"/>
      <c r="I101" s="290"/>
      <c r="J101" s="290"/>
      <c r="K101" s="290"/>
      <c r="L101" s="290"/>
      <c r="M101" s="290"/>
    </row>
    <row r="102" spans="1:13" ht="12">
      <c r="A102" s="290"/>
      <c r="B102" s="290"/>
      <c r="C102" s="290"/>
      <c r="D102" s="290"/>
      <c r="E102" s="290"/>
      <c r="F102" s="290"/>
      <c r="G102" s="290"/>
      <c r="H102" s="290"/>
      <c r="I102" s="290"/>
      <c r="J102" s="290"/>
      <c r="K102" s="290"/>
      <c r="L102" s="290"/>
      <c r="M102" s="290"/>
    </row>
    <row r="103" spans="1:13" ht="12">
      <c r="A103" s="290"/>
      <c r="B103" s="290"/>
      <c r="C103" s="290"/>
      <c r="D103" s="290"/>
      <c r="E103" s="290"/>
      <c r="F103" s="290"/>
      <c r="G103" s="290"/>
      <c r="H103" s="290"/>
      <c r="I103" s="290"/>
      <c r="J103" s="290"/>
      <c r="K103" s="290"/>
      <c r="L103" s="290"/>
      <c r="M103" s="290"/>
    </row>
    <row r="104" spans="1:13" ht="12">
      <c r="A104" s="290"/>
      <c r="B104" s="290"/>
      <c r="C104" s="290"/>
      <c r="D104" s="290"/>
      <c r="E104" s="290"/>
      <c r="F104" s="290"/>
      <c r="G104" s="290"/>
      <c r="H104" s="290"/>
      <c r="I104" s="290"/>
      <c r="J104" s="290"/>
      <c r="K104" s="290"/>
      <c r="L104" s="290"/>
      <c r="M104" s="290"/>
    </row>
    <row r="105" spans="1:13" ht="12">
      <c r="A105" s="290"/>
      <c r="B105" s="290"/>
      <c r="C105" s="290"/>
      <c r="D105" s="290"/>
      <c r="E105" s="290"/>
      <c r="F105" s="290"/>
      <c r="G105" s="290"/>
      <c r="H105" s="290"/>
      <c r="I105" s="290"/>
      <c r="J105" s="290"/>
      <c r="K105" s="290"/>
      <c r="L105" s="290"/>
      <c r="M105" s="290"/>
    </row>
    <row r="106" spans="1:13" ht="12">
      <c r="A106" s="290"/>
      <c r="B106" s="290"/>
      <c r="C106" s="290"/>
      <c r="D106" s="290"/>
      <c r="E106" s="290"/>
      <c r="F106" s="290"/>
      <c r="G106" s="290"/>
      <c r="H106" s="290"/>
      <c r="I106" s="290"/>
      <c r="J106" s="290"/>
      <c r="K106" s="290"/>
      <c r="L106" s="290"/>
      <c r="M106" s="290"/>
    </row>
    <row r="107" spans="1:13" ht="12">
      <c r="A107" s="290"/>
      <c r="B107" s="290"/>
      <c r="C107" s="290"/>
      <c r="D107" s="290"/>
      <c r="E107" s="290"/>
      <c r="F107" s="290"/>
      <c r="G107" s="290"/>
      <c r="H107" s="290"/>
      <c r="I107" s="290"/>
      <c r="J107" s="290"/>
      <c r="K107" s="290"/>
      <c r="L107" s="290"/>
      <c r="M107" s="290"/>
    </row>
    <row r="108" spans="1:13" ht="12">
      <c r="A108" s="290"/>
      <c r="B108" s="290"/>
      <c r="C108" s="290"/>
      <c r="D108" s="290"/>
      <c r="E108" s="290"/>
      <c r="F108" s="290"/>
      <c r="G108" s="290"/>
      <c r="H108" s="290"/>
      <c r="I108" s="290"/>
      <c r="J108" s="290"/>
      <c r="K108" s="290"/>
      <c r="L108" s="290"/>
      <c r="M108" s="290"/>
    </row>
    <row r="109" spans="1:13" ht="12">
      <c r="A109" s="290"/>
      <c r="B109" s="290"/>
      <c r="C109" s="290"/>
      <c r="D109" s="290"/>
      <c r="E109" s="290"/>
      <c r="F109" s="290"/>
      <c r="G109" s="290"/>
      <c r="H109" s="290"/>
      <c r="I109" s="290"/>
      <c r="J109" s="290"/>
      <c r="K109" s="290"/>
      <c r="L109" s="290"/>
      <c r="M109" s="290"/>
    </row>
    <row r="110" spans="1:13" ht="12">
      <c r="A110" s="290"/>
      <c r="B110" s="290"/>
      <c r="C110" s="290"/>
      <c r="D110" s="290"/>
      <c r="E110" s="290"/>
      <c r="F110" s="290"/>
      <c r="G110" s="290"/>
      <c r="H110" s="290"/>
      <c r="I110" s="290"/>
      <c r="J110" s="290"/>
      <c r="K110" s="290"/>
      <c r="L110" s="290"/>
      <c r="M110" s="290"/>
    </row>
    <row r="111" spans="1:13" ht="12">
      <c r="A111" s="290"/>
      <c r="B111" s="290"/>
      <c r="C111" s="290"/>
      <c r="D111" s="290"/>
      <c r="E111" s="290"/>
      <c r="F111" s="290"/>
      <c r="G111" s="290"/>
      <c r="H111" s="290"/>
      <c r="I111" s="290"/>
      <c r="J111" s="290"/>
      <c r="K111" s="290"/>
      <c r="L111" s="290"/>
      <c r="M111" s="290"/>
    </row>
    <row r="112" spans="1:13" ht="12">
      <c r="A112" s="290"/>
      <c r="B112" s="290"/>
      <c r="C112" s="290"/>
      <c r="D112" s="290"/>
      <c r="E112" s="290"/>
      <c r="F112" s="290"/>
      <c r="G112" s="290"/>
      <c r="H112" s="290"/>
      <c r="I112" s="290"/>
      <c r="J112" s="290"/>
      <c r="K112" s="290"/>
      <c r="L112" s="290"/>
      <c r="M112" s="290"/>
    </row>
    <row r="113" spans="1:13" ht="12">
      <c r="A113" s="290"/>
      <c r="B113" s="290"/>
      <c r="C113" s="290"/>
      <c r="D113" s="290"/>
      <c r="E113" s="290"/>
      <c r="F113" s="290"/>
      <c r="G113" s="290"/>
      <c r="H113" s="290"/>
      <c r="I113" s="290"/>
      <c r="J113" s="290"/>
      <c r="K113" s="290"/>
      <c r="L113" s="290"/>
      <c r="M113" s="290"/>
    </row>
    <row r="114" spans="1:13" ht="12">
      <c r="A114" s="290"/>
      <c r="B114" s="290"/>
      <c r="C114" s="290"/>
      <c r="D114" s="290"/>
      <c r="E114" s="290"/>
      <c r="F114" s="290"/>
      <c r="G114" s="290"/>
      <c r="H114" s="290"/>
      <c r="I114" s="290"/>
      <c r="J114" s="290"/>
      <c r="K114" s="290"/>
      <c r="L114" s="290"/>
      <c r="M114" s="290"/>
    </row>
    <row r="115" spans="1:13" ht="12">
      <c r="A115" s="290"/>
      <c r="B115" s="290"/>
      <c r="C115" s="290"/>
      <c r="D115" s="290"/>
      <c r="E115" s="290"/>
      <c r="F115" s="290"/>
      <c r="G115" s="290"/>
      <c r="H115" s="290"/>
      <c r="I115" s="290"/>
      <c r="J115" s="290"/>
      <c r="K115" s="290"/>
      <c r="L115" s="290"/>
      <c r="M115" s="290"/>
    </row>
    <row r="116" spans="1:13" ht="12">
      <c r="A116" s="290"/>
      <c r="B116" s="290"/>
      <c r="C116" s="290"/>
      <c r="D116" s="290"/>
      <c r="E116" s="290"/>
      <c r="F116" s="290"/>
      <c r="G116" s="290"/>
      <c r="H116" s="290"/>
      <c r="I116" s="290"/>
      <c r="J116" s="290"/>
      <c r="K116" s="290"/>
      <c r="L116" s="290"/>
      <c r="M116" s="290"/>
    </row>
    <row r="117" spans="1:13" ht="12">
      <c r="A117" s="290"/>
      <c r="B117" s="290"/>
      <c r="C117" s="290"/>
      <c r="D117" s="290"/>
      <c r="E117" s="290"/>
      <c r="F117" s="290"/>
      <c r="G117" s="290"/>
      <c r="H117" s="290"/>
      <c r="I117" s="290"/>
      <c r="J117" s="290"/>
      <c r="K117" s="290"/>
      <c r="L117" s="290"/>
      <c r="M117" s="290"/>
    </row>
    <row r="118" spans="1:13" ht="12">
      <c r="A118" s="290"/>
      <c r="B118" s="290"/>
      <c r="C118" s="290"/>
      <c r="D118" s="290"/>
      <c r="E118" s="290"/>
      <c r="F118" s="290"/>
      <c r="G118" s="290"/>
      <c r="H118" s="290"/>
      <c r="I118" s="290"/>
      <c r="J118" s="290"/>
      <c r="K118" s="290"/>
      <c r="L118" s="290"/>
      <c r="M118" s="290"/>
    </row>
    <row r="119" spans="1:13" ht="12">
      <c r="A119" s="290"/>
      <c r="B119" s="290"/>
      <c r="C119" s="290"/>
      <c r="D119" s="290"/>
      <c r="E119" s="290"/>
      <c r="F119" s="290"/>
      <c r="G119" s="290"/>
      <c r="H119" s="290"/>
      <c r="I119" s="290"/>
      <c r="J119" s="290"/>
      <c r="K119" s="290"/>
      <c r="L119" s="290"/>
      <c r="M119" s="290"/>
    </row>
    <row r="120" spans="1:13" ht="12">
      <c r="A120" s="290"/>
      <c r="B120" s="290"/>
      <c r="C120" s="290"/>
      <c r="D120" s="290"/>
      <c r="E120" s="290"/>
      <c r="F120" s="290"/>
      <c r="G120" s="290"/>
      <c r="H120" s="290"/>
      <c r="I120" s="290"/>
      <c r="J120" s="290"/>
      <c r="K120" s="290"/>
      <c r="L120" s="290"/>
      <c r="M120" s="290"/>
    </row>
    <row r="121" spans="1:13" ht="12">
      <c r="A121" s="290"/>
      <c r="B121" s="290"/>
      <c r="C121" s="290"/>
      <c r="D121" s="290"/>
      <c r="E121" s="290"/>
      <c r="F121" s="290"/>
      <c r="G121" s="290"/>
      <c r="H121" s="290"/>
      <c r="I121" s="290"/>
      <c r="J121" s="290"/>
      <c r="K121" s="290"/>
      <c r="L121" s="290"/>
      <c r="M121" s="290"/>
    </row>
    <row r="122" spans="1:13" ht="12">
      <c r="A122" s="290"/>
      <c r="B122" s="290"/>
      <c r="C122" s="290"/>
      <c r="D122" s="290"/>
      <c r="E122" s="290"/>
      <c r="F122" s="290"/>
      <c r="G122" s="290"/>
      <c r="H122" s="290"/>
      <c r="I122" s="290"/>
      <c r="J122" s="290"/>
      <c r="K122" s="290"/>
      <c r="L122" s="290"/>
      <c r="M122" s="290"/>
    </row>
    <row r="123" spans="1:13" ht="12">
      <c r="A123" s="290"/>
      <c r="B123" s="290"/>
      <c r="C123" s="290"/>
      <c r="D123" s="290"/>
      <c r="E123" s="290"/>
      <c r="F123" s="290"/>
      <c r="G123" s="290"/>
      <c r="H123" s="290"/>
      <c r="I123" s="290"/>
      <c r="J123" s="290"/>
      <c r="K123" s="290"/>
      <c r="L123" s="290"/>
      <c r="M123" s="290"/>
    </row>
    <row r="124" spans="1:13" ht="12">
      <c r="A124" s="290"/>
      <c r="B124" s="290"/>
      <c r="C124" s="290"/>
      <c r="D124" s="290"/>
      <c r="E124" s="290"/>
      <c r="F124" s="290"/>
      <c r="G124" s="290"/>
      <c r="H124" s="290"/>
      <c r="I124" s="290"/>
      <c r="J124" s="290"/>
      <c r="K124" s="290"/>
      <c r="L124" s="290"/>
      <c r="M124" s="290"/>
    </row>
    <row r="125" spans="1:13" ht="12">
      <c r="A125" s="290"/>
      <c r="B125" s="290"/>
      <c r="C125" s="290"/>
      <c r="D125" s="290"/>
      <c r="E125" s="290"/>
      <c r="F125" s="290"/>
      <c r="G125" s="290"/>
      <c r="H125" s="290"/>
      <c r="I125" s="290"/>
      <c r="J125" s="290"/>
      <c r="K125" s="290"/>
      <c r="L125" s="290"/>
      <c r="M125" s="290"/>
    </row>
    <row r="126" spans="1:13" ht="12">
      <c r="A126" s="290"/>
      <c r="B126" s="290"/>
      <c r="C126" s="290"/>
      <c r="D126" s="290"/>
      <c r="E126" s="290"/>
      <c r="F126" s="290"/>
      <c r="G126" s="290"/>
      <c r="H126" s="290"/>
      <c r="I126" s="290"/>
      <c r="J126" s="290"/>
      <c r="K126" s="290"/>
      <c r="L126" s="290"/>
      <c r="M126" s="290"/>
    </row>
    <row r="127" spans="1:2" ht="12">
      <c r="A127" s="59"/>
      <c r="B127" s="142"/>
    </row>
    <row r="128" spans="1:13" s="173" customFormat="1" ht="11.25">
      <c r="A128" s="143"/>
      <c r="B128" s="144" t="s">
        <v>79</v>
      </c>
      <c r="C128" s="178" t="s">
        <v>81</v>
      </c>
      <c r="D128" s="175" t="s">
        <v>382</v>
      </c>
      <c r="E128" s="175" t="s">
        <v>124</v>
      </c>
      <c r="F128" s="202"/>
      <c r="G128" s="178" t="s">
        <v>81</v>
      </c>
      <c r="H128" s="175" t="s">
        <v>382</v>
      </c>
      <c r="I128" s="175" t="s">
        <v>124</v>
      </c>
      <c r="J128" s="202"/>
      <c r="K128" s="178" t="s">
        <v>81</v>
      </c>
      <c r="L128" s="175" t="s">
        <v>382</v>
      </c>
      <c r="M128" s="175" t="s">
        <v>124</v>
      </c>
    </row>
    <row r="129" spans="1:13" ht="12">
      <c r="A129" s="59"/>
      <c r="B129" s="224">
        <f aca="true" t="shared" si="11" ref="B129:B151">DATE(YEAR(B130),MONTH(B130),1)-1</f>
        <v>35915</v>
      </c>
      <c r="C129" s="261" t="e">
        <f>NA()</f>
        <v>#N/A</v>
      </c>
      <c r="D129" s="232"/>
      <c r="E129" s="233" t="e">
        <f aca="true" t="shared" si="12" ref="E129:E139">IF(OR(D129="",D129&lt;=0),NA(),C129/D129)</f>
        <v>#N/A</v>
      </c>
      <c r="F129" s="230">
        <f aca="true" t="shared" si="13" ref="F129:F151">DATE(YEAR(F130),MONTH(F130),1)-1</f>
        <v>36646</v>
      </c>
      <c r="G129" s="145">
        <f>'Company Info'!A501</f>
        <v>55.375</v>
      </c>
      <c r="H129" s="232">
        <f>IF(INDEX($B$79:$D$98,MATCH(F129,$B$79:$B$98,1),3)&lt;=0,"",INDEX($B$79:$D$98,MATCH(F129,$B$79:$B$98,1),3))</f>
        <v>1.33</v>
      </c>
      <c r="I129" s="233">
        <f>IF(OR(H129="",H129&lt;=0),NA(),G129/H129)</f>
        <v>41.63533834586466</v>
      </c>
      <c r="J129" s="230">
        <f aca="true" t="shared" si="14" ref="J129:J139">DATE(YEAR(J130),MONTH(J130),1)-1</f>
        <v>37376</v>
      </c>
      <c r="K129" s="145">
        <f>'Company Info'!A525</f>
        <v>55.86</v>
      </c>
      <c r="L129" s="232">
        <f>IF(INDEX($B$79:$D$98,MATCH(J129,$B$79:$B$98,1),3)&lt;=0,"",INDEX($B$79:$D$98,MATCH(J129,$B$79:$B$98,1),3))</f>
        <v>1.5499999999999998</v>
      </c>
      <c r="M129" s="233">
        <f aca="true" t="shared" si="15" ref="M129:M140">IF(OR(L129="",L129&lt;=0),NA(),K129/L129)</f>
        <v>36.038709677419355</v>
      </c>
    </row>
    <row r="130" spans="1:13" s="95" customFormat="1" ht="12">
      <c r="A130" s="54"/>
      <c r="B130" s="225">
        <f t="shared" si="11"/>
        <v>35946</v>
      </c>
      <c r="C130" s="236">
        <f>'Company Info'!A478</f>
        <v>27.562</v>
      </c>
      <c r="D130" s="234"/>
      <c r="E130" s="235" t="e">
        <f t="shared" si="12"/>
        <v>#N/A</v>
      </c>
      <c r="F130" s="237">
        <f t="shared" si="13"/>
        <v>36677</v>
      </c>
      <c r="G130" s="236">
        <f>'Company Info'!A502</f>
        <v>58</v>
      </c>
      <c r="H130" s="234">
        <f aca="true" t="shared" si="16" ref="H130:H152">IF(INDEX($B$79:$D$98,MATCH(F130,$B$79:$B$98,1),3)&lt;=0,"",INDEX($B$79:$D$98,MATCH(F130,$B$79:$B$98,1),3))</f>
        <v>1.33</v>
      </c>
      <c r="I130" s="235">
        <f>IF(OR(H130="",H130&lt;=0),NA(),G130/H130)</f>
        <v>43.609022556390975</v>
      </c>
      <c r="J130" s="237">
        <f t="shared" si="14"/>
        <v>37407</v>
      </c>
      <c r="K130" s="236">
        <f>'Company Info'!A526</f>
        <v>54.1</v>
      </c>
      <c r="L130" s="234">
        <f>IF(INDEX($B$79:$D$98,MATCH(J130,$B$79:$B$98,1),3)&lt;=0,"",INDEX($B$79:$D$98,MATCH(J130,$B$79:$B$98,1),3))</f>
        <v>1.5499999999999998</v>
      </c>
      <c r="M130" s="235">
        <f t="shared" si="15"/>
        <v>34.903225806451616</v>
      </c>
    </row>
    <row r="131" spans="1:13" ht="12">
      <c r="A131" s="59"/>
      <c r="B131" s="224">
        <f t="shared" si="11"/>
        <v>35976</v>
      </c>
      <c r="C131" s="145">
        <f>'Company Info'!A479</f>
        <v>30.375</v>
      </c>
      <c r="D131" s="232"/>
      <c r="E131" s="233" t="e">
        <f t="shared" si="12"/>
        <v>#N/A</v>
      </c>
      <c r="F131" s="230">
        <f t="shared" si="13"/>
        <v>36707</v>
      </c>
      <c r="G131" s="145">
        <f>'Company Info'!A503</f>
        <v>57.625</v>
      </c>
      <c r="H131" s="232">
        <f t="shared" si="16"/>
        <v>1.33</v>
      </c>
      <c r="I131" s="233">
        <f>IF(OR(H131="",H131&lt;=0),NA(),G131/H131)</f>
        <v>43.32706766917293</v>
      </c>
      <c r="J131" s="230">
        <f t="shared" si="14"/>
        <v>37437</v>
      </c>
      <c r="K131" s="145">
        <f>'Company Info'!A527</f>
        <v>55.01</v>
      </c>
      <c r="L131" s="232">
        <f>IF(INDEX($B$79:$D$98,MATCH(J131,$B$79:$B$98,1),3)&lt;=0,"",INDEX($B$79:$D$98,MATCH(J131,$B$79:$B$98,1),3))</f>
        <v>1.5499999999999998</v>
      </c>
      <c r="M131" s="233">
        <f t="shared" si="15"/>
        <v>35.49032258064516</v>
      </c>
    </row>
    <row r="132" spans="1:13" s="95" customFormat="1" ht="12">
      <c r="A132" s="54"/>
      <c r="B132" s="225">
        <f t="shared" si="11"/>
        <v>36007</v>
      </c>
      <c r="C132" s="236">
        <f>'Company Info'!A480</f>
        <v>31.562</v>
      </c>
      <c r="D132" s="234">
        <f aca="true" t="shared" si="17" ref="D132:D152">IF(INDEX($B$79:$D$98,MATCH(B132,$B$79:$B$98,1),3)&lt;=0,"",INDEX($B$79:$D$98,MATCH(B132,$B$79:$B$98,1),3))</f>
      </c>
      <c r="E132" s="235" t="e">
        <f t="shared" si="12"/>
        <v>#N/A</v>
      </c>
      <c r="F132" s="237">
        <f t="shared" si="13"/>
        <v>36738</v>
      </c>
      <c r="G132" s="236">
        <f>'Company Info'!A504</f>
        <v>54.938</v>
      </c>
      <c r="H132" s="234">
        <f t="shared" si="16"/>
        <v>1.38</v>
      </c>
      <c r="I132" s="235">
        <f aca="true" t="shared" si="18" ref="I132:I152">IF(OR(H132="",H132&lt;=0),NA(),G132/H132)</f>
        <v>39.810144927536236</v>
      </c>
      <c r="J132" s="237">
        <f t="shared" si="14"/>
        <v>37468</v>
      </c>
      <c r="K132" s="236">
        <f>'Company Info'!A528</f>
        <v>49.18</v>
      </c>
      <c r="L132" s="234">
        <f>IF(INDEX($B$79:$D$98,MATCH(J132,$B$79:$B$98,1),3)&lt;=0,"",INDEX($B$79:$D$98,MATCH(J132,$B$79:$B$98,1),3))</f>
        <v>1.65</v>
      </c>
      <c r="M132" s="235">
        <f t="shared" si="15"/>
        <v>29.80606060606061</v>
      </c>
    </row>
    <row r="133" spans="1:13" ht="12">
      <c r="A133" s="59"/>
      <c r="B133" s="224">
        <f t="shared" si="11"/>
        <v>36038</v>
      </c>
      <c r="C133" s="145">
        <f>'Company Info'!A481</f>
        <v>29.5</v>
      </c>
      <c r="D133" s="232">
        <f t="shared" si="17"/>
      </c>
      <c r="E133" s="233" t="e">
        <f t="shared" si="12"/>
        <v>#N/A</v>
      </c>
      <c r="F133" s="230">
        <f t="shared" si="13"/>
        <v>36769</v>
      </c>
      <c r="G133" s="145">
        <f>'Company Info'!A505</f>
        <v>47.438</v>
      </c>
      <c r="H133" s="232">
        <f t="shared" si="16"/>
        <v>1.38</v>
      </c>
      <c r="I133" s="233">
        <f t="shared" si="18"/>
        <v>34.37536231884059</v>
      </c>
      <c r="J133" s="230">
        <f t="shared" si="14"/>
        <v>37499</v>
      </c>
      <c r="K133" s="145">
        <f>'Company Info'!A529</f>
        <v>53.48</v>
      </c>
      <c r="L133" s="232">
        <f>IF(INDEX($B$79:$D$98,MATCH(J133,$B$79:$B$98,1),3)=0,"",INDEX($B$79:$D$98,MATCH(J133,$B$79:$B$98,1),3))</f>
        <v>1.65</v>
      </c>
      <c r="M133" s="233">
        <f t="shared" si="15"/>
        <v>32.412121212121214</v>
      </c>
    </row>
    <row r="134" spans="1:13" s="95" customFormat="1" ht="12">
      <c r="A134" s="54"/>
      <c r="B134" s="225">
        <f t="shared" si="11"/>
        <v>36068</v>
      </c>
      <c r="C134" s="236">
        <f>'Company Info'!A482</f>
        <v>27.312</v>
      </c>
      <c r="D134" s="234">
        <f t="shared" si="17"/>
      </c>
      <c r="E134" s="235" t="e">
        <f t="shared" si="12"/>
        <v>#N/A</v>
      </c>
      <c r="F134" s="237">
        <f t="shared" si="13"/>
        <v>36799</v>
      </c>
      <c r="G134" s="236">
        <f>'Company Info'!A506</f>
        <v>48.125</v>
      </c>
      <c r="H134" s="234">
        <f t="shared" si="16"/>
        <v>1.38</v>
      </c>
      <c r="I134" s="235">
        <f t="shared" si="18"/>
        <v>34.8731884057971</v>
      </c>
      <c r="J134" s="237">
        <f t="shared" si="14"/>
        <v>37529</v>
      </c>
      <c r="K134" s="236">
        <f>'Company Info'!A530</f>
        <v>49.24</v>
      </c>
      <c r="L134" s="234">
        <f aca="true" t="shared" si="19" ref="L134:L140">IF(INDEX($B$79:$D$98,MATCH(J134,$B$79:$B$98,1),3)=0,"",INDEX($B$79:$D$98,MATCH(J134,$B$79:$B$98,1),3))</f>
        <v>1.65</v>
      </c>
      <c r="M134" s="235">
        <f t="shared" si="15"/>
        <v>29.842424242424244</v>
      </c>
    </row>
    <row r="135" spans="1:13" ht="12">
      <c r="A135" s="59"/>
      <c r="B135" s="224">
        <f t="shared" si="11"/>
        <v>36099</v>
      </c>
      <c r="C135" s="145">
        <f>'Company Info'!A483</f>
        <v>34.531</v>
      </c>
      <c r="D135" s="232">
        <f t="shared" si="17"/>
      </c>
      <c r="E135" s="233" t="e">
        <f t="shared" si="12"/>
        <v>#N/A</v>
      </c>
      <c r="F135" s="230">
        <f t="shared" si="13"/>
        <v>36830</v>
      </c>
      <c r="G135" s="145">
        <f>'Company Info'!A507</f>
        <v>45.375</v>
      </c>
      <c r="H135" s="232">
        <f t="shared" si="16"/>
        <v>1.4</v>
      </c>
      <c r="I135" s="233">
        <f t="shared" si="18"/>
        <v>32.410714285714285</v>
      </c>
      <c r="J135" s="230">
        <f t="shared" si="14"/>
        <v>37560</v>
      </c>
      <c r="K135" s="145">
        <f>'Company Info'!A531</f>
        <v>53.55</v>
      </c>
      <c r="L135" s="232">
        <f t="shared" si="19"/>
        <v>1.73</v>
      </c>
      <c r="M135" s="233">
        <f t="shared" si="15"/>
        <v>30.953757225433524</v>
      </c>
    </row>
    <row r="136" spans="1:13" s="95" customFormat="1" ht="12">
      <c r="A136" s="54"/>
      <c r="B136" s="225">
        <f t="shared" si="11"/>
        <v>36129</v>
      </c>
      <c r="C136" s="236">
        <f>'Company Info'!A484</f>
        <v>37.656</v>
      </c>
      <c r="D136" s="234">
        <f t="shared" si="17"/>
      </c>
      <c r="E136" s="235" t="e">
        <f t="shared" si="12"/>
        <v>#N/A</v>
      </c>
      <c r="F136" s="237">
        <f t="shared" si="13"/>
        <v>36860</v>
      </c>
      <c r="G136" s="236">
        <f>'Company Info'!A508</f>
        <v>52.188</v>
      </c>
      <c r="H136" s="234">
        <f t="shared" si="16"/>
        <v>1.4</v>
      </c>
      <c r="I136" s="235">
        <f t="shared" si="18"/>
        <v>37.27714285714286</v>
      </c>
      <c r="J136" s="237">
        <f t="shared" si="14"/>
        <v>37590</v>
      </c>
      <c r="K136" s="236">
        <f>'Company Info'!A532</f>
        <v>53.9</v>
      </c>
      <c r="L136" s="234">
        <f t="shared" si="19"/>
        <v>1.73</v>
      </c>
      <c r="M136" s="235">
        <f t="shared" si="15"/>
        <v>31.156069364161848</v>
      </c>
    </row>
    <row r="137" spans="1:13" ht="12">
      <c r="A137" s="59"/>
      <c r="B137" s="224">
        <f t="shared" si="11"/>
        <v>36160</v>
      </c>
      <c r="C137" s="145">
        <f>'Company Info'!A485</f>
        <v>40.719</v>
      </c>
      <c r="D137" s="232">
        <f t="shared" si="17"/>
      </c>
      <c r="E137" s="233" t="e">
        <f t="shared" si="12"/>
        <v>#N/A</v>
      </c>
      <c r="F137" s="230">
        <f t="shared" si="13"/>
        <v>36891</v>
      </c>
      <c r="G137" s="145">
        <f>'Company Info'!A509</f>
        <v>53.125</v>
      </c>
      <c r="H137" s="232">
        <f t="shared" si="16"/>
        <v>1.4</v>
      </c>
      <c r="I137" s="233">
        <f t="shared" si="18"/>
        <v>37.94642857142858</v>
      </c>
      <c r="J137" s="230">
        <f t="shared" si="14"/>
        <v>37621</v>
      </c>
      <c r="K137" s="145">
        <f>'Company Info'!A533</f>
        <v>50.51</v>
      </c>
      <c r="L137" s="232">
        <f t="shared" si="19"/>
        <v>1.73</v>
      </c>
      <c r="M137" s="233">
        <f t="shared" si="15"/>
        <v>29.196531791907514</v>
      </c>
    </row>
    <row r="138" spans="1:13" s="95" customFormat="1" ht="12">
      <c r="A138" s="54"/>
      <c r="B138" s="225">
        <f t="shared" si="11"/>
        <v>36191</v>
      </c>
      <c r="C138" s="236">
        <f>'Company Info'!A486</f>
        <v>43</v>
      </c>
      <c r="D138" s="234">
        <f t="shared" si="17"/>
        <v>0.99</v>
      </c>
      <c r="E138" s="235">
        <f t="shared" si="12"/>
        <v>43.43434343434343</v>
      </c>
      <c r="F138" s="237">
        <f t="shared" si="13"/>
        <v>36922</v>
      </c>
      <c r="G138" s="236">
        <f>'Company Info'!A510</f>
        <v>56.8</v>
      </c>
      <c r="H138" s="234">
        <f t="shared" si="16"/>
        <v>1.42</v>
      </c>
      <c r="I138" s="235">
        <f t="shared" si="18"/>
        <v>40</v>
      </c>
      <c r="J138" s="237">
        <f t="shared" si="14"/>
        <v>37652</v>
      </c>
      <c r="K138" s="236">
        <f>'Company Info'!A534</f>
        <v>47.8</v>
      </c>
      <c r="L138" s="234">
        <f t="shared" si="19"/>
        <v>1.81</v>
      </c>
      <c r="M138" s="235">
        <f t="shared" si="15"/>
        <v>26.408839779005522</v>
      </c>
    </row>
    <row r="139" spans="1:13" ht="12">
      <c r="A139" s="59"/>
      <c r="B139" s="224">
        <f t="shared" si="11"/>
        <v>36219</v>
      </c>
      <c r="C139" s="145">
        <f>'Company Info'!A487</f>
        <v>43.062</v>
      </c>
      <c r="D139" s="232">
        <f t="shared" si="17"/>
        <v>0.99</v>
      </c>
      <c r="E139" s="233">
        <f t="shared" si="12"/>
        <v>43.49696969696969</v>
      </c>
      <c r="F139" s="230">
        <f t="shared" si="13"/>
        <v>36950</v>
      </c>
      <c r="G139" s="145">
        <f>'Company Info'!A511</f>
        <v>50.09</v>
      </c>
      <c r="H139" s="232">
        <f t="shared" si="16"/>
        <v>1.42</v>
      </c>
      <c r="I139" s="233">
        <f t="shared" si="18"/>
        <v>35.27464788732395</v>
      </c>
      <c r="J139" s="230">
        <f t="shared" si="14"/>
        <v>37680</v>
      </c>
      <c r="K139" s="145">
        <f>'Company Info'!A535</f>
        <v>48.06</v>
      </c>
      <c r="L139" s="232">
        <f t="shared" si="19"/>
        <v>1.81</v>
      </c>
      <c r="M139" s="233">
        <f t="shared" si="15"/>
        <v>26.552486187845304</v>
      </c>
    </row>
    <row r="140" spans="1:13" s="95" customFormat="1" ht="12">
      <c r="A140" s="54"/>
      <c r="B140" s="225">
        <f t="shared" si="11"/>
        <v>36250</v>
      </c>
      <c r="C140" s="236">
        <f>'Company Info'!A488</f>
        <v>46.094</v>
      </c>
      <c r="D140" s="234">
        <f t="shared" si="17"/>
        <v>0.99</v>
      </c>
      <c r="E140" s="235">
        <f aca="true" t="shared" si="20" ref="E140:E152">IF(OR(D140="",D140&lt;=0),NA(),C140/D140)</f>
        <v>46.55959595959596</v>
      </c>
      <c r="F140" s="237">
        <f t="shared" si="13"/>
        <v>36981</v>
      </c>
      <c r="G140" s="236">
        <f>'Company Info'!A512</f>
        <v>50.5</v>
      </c>
      <c r="H140" s="234">
        <f t="shared" si="16"/>
        <v>1.42</v>
      </c>
      <c r="I140" s="235">
        <f t="shared" si="18"/>
        <v>35.563380281690144</v>
      </c>
      <c r="J140" s="237">
        <f>DATE(YEAR(J141),MONTH(J141),1)-1</f>
        <v>37711</v>
      </c>
      <c r="K140" s="236">
        <f>'Company Info'!A536</f>
        <v>52.03</v>
      </c>
      <c r="L140" s="234">
        <f t="shared" si="19"/>
        <v>1.81</v>
      </c>
      <c r="M140" s="235">
        <f t="shared" si="15"/>
        <v>28.74585635359116</v>
      </c>
    </row>
    <row r="141" spans="1:13" ht="12">
      <c r="A141" s="59"/>
      <c r="B141" s="224">
        <f t="shared" si="11"/>
        <v>36280</v>
      </c>
      <c r="C141" s="145">
        <f>'Company Info'!A489</f>
        <v>46</v>
      </c>
      <c r="D141" s="232">
        <f t="shared" si="17"/>
        <v>1.055</v>
      </c>
      <c r="E141" s="233">
        <f t="shared" si="20"/>
        <v>43.60189573459716</v>
      </c>
      <c r="F141" s="230">
        <f t="shared" si="13"/>
        <v>37011</v>
      </c>
      <c r="G141" s="145">
        <f>'Company Info'!A513</f>
        <v>51.74</v>
      </c>
      <c r="H141" s="232">
        <f t="shared" si="16"/>
        <v>1.43</v>
      </c>
      <c r="I141" s="233">
        <f t="shared" si="18"/>
        <v>36.18181818181819</v>
      </c>
      <c r="J141" s="230">
        <f>'Company Info'!$A$331</f>
        <v>37736</v>
      </c>
      <c r="K141" s="145">
        <f>'Company Info'!A537</f>
        <v>55</v>
      </c>
      <c r="L141" s="232">
        <f>IF(INDEX($B$79:$D$98,MATCH(J141,$B$79:$B$98,1),3)=0,"",INDEX($B$79:$D$98,MATCH(J141,$B$79:$B$98,1),3))</f>
        <v>1.81</v>
      </c>
      <c r="M141" s="233">
        <f>IF(OR(L141="",L141&lt;=0),NA(),K141/L141)</f>
        <v>30.386740331491712</v>
      </c>
    </row>
    <row r="142" spans="1:10" s="95" customFormat="1" ht="12">
      <c r="A142" s="54"/>
      <c r="B142" s="225">
        <f t="shared" si="11"/>
        <v>36311</v>
      </c>
      <c r="C142" s="236">
        <f>'Company Info'!A490</f>
        <v>42.625</v>
      </c>
      <c r="D142" s="234">
        <f t="shared" si="17"/>
        <v>1.055</v>
      </c>
      <c r="E142" s="235">
        <f t="shared" si="20"/>
        <v>40.40284360189574</v>
      </c>
      <c r="F142" s="237">
        <f t="shared" si="13"/>
        <v>37042</v>
      </c>
      <c r="G142" s="236">
        <f>'Company Info'!A514</f>
        <v>51.75</v>
      </c>
      <c r="H142" s="234">
        <f t="shared" si="16"/>
        <v>1.43</v>
      </c>
      <c r="I142" s="235">
        <f t="shared" si="18"/>
        <v>36.188811188811194</v>
      </c>
      <c r="J142" s="238"/>
    </row>
    <row r="143" spans="1:13" ht="12">
      <c r="A143" s="59"/>
      <c r="B143" s="224">
        <f t="shared" si="11"/>
        <v>36341</v>
      </c>
      <c r="C143" s="145">
        <f>'Company Info'!A491</f>
        <v>48.25</v>
      </c>
      <c r="D143" s="232">
        <f t="shared" si="17"/>
        <v>1.055</v>
      </c>
      <c r="E143" s="233">
        <f t="shared" si="20"/>
        <v>45.73459715639811</v>
      </c>
      <c r="F143" s="230">
        <f t="shared" si="13"/>
        <v>37072</v>
      </c>
      <c r="G143" s="145">
        <f>'Company Info'!A515</f>
        <v>48.8</v>
      </c>
      <c r="H143" s="232">
        <f t="shared" si="16"/>
        <v>1.43</v>
      </c>
      <c r="I143" s="233">
        <f t="shared" si="18"/>
        <v>34.12587412587413</v>
      </c>
      <c r="J143" s="281" t="s">
        <v>383</v>
      </c>
      <c r="K143" s="282"/>
      <c r="L143" s="282"/>
      <c r="M143" s="282"/>
    </row>
    <row r="144" spans="1:13" s="95" customFormat="1" ht="12">
      <c r="A144" s="54"/>
      <c r="B144" s="225">
        <f t="shared" si="11"/>
        <v>36372</v>
      </c>
      <c r="C144" s="236">
        <f>'Company Info'!A492</f>
        <v>42.25</v>
      </c>
      <c r="D144" s="234">
        <f t="shared" si="17"/>
        <v>1.135</v>
      </c>
      <c r="E144" s="235">
        <f t="shared" si="20"/>
        <v>37.22466960352423</v>
      </c>
      <c r="F144" s="237">
        <f t="shared" si="13"/>
        <v>37103</v>
      </c>
      <c r="G144" s="236">
        <f>'Company Info'!A516</f>
        <v>55.9</v>
      </c>
      <c r="H144" s="234">
        <f t="shared" si="16"/>
        <v>1.4300000000000002</v>
      </c>
      <c r="I144" s="235">
        <f t="shared" si="18"/>
        <v>39.090909090909086</v>
      </c>
      <c r="J144" s="283" t="s">
        <v>384</v>
      </c>
      <c r="K144" s="284"/>
      <c r="L144" s="284"/>
      <c r="M144" s="284"/>
    </row>
    <row r="145" spans="1:13" ht="12">
      <c r="A145" s="59"/>
      <c r="B145" s="224">
        <f t="shared" si="11"/>
        <v>36403</v>
      </c>
      <c r="C145" s="145">
        <f>'Company Info'!A493</f>
        <v>44.312</v>
      </c>
      <c r="D145" s="232">
        <f t="shared" si="17"/>
        <v>1.135</v>
      </c>
      <c r="E145" s="233">
        <f t="shared" si="20"/>
        <v>39.04140969162995</v>
      </c>
      <c r="F145" s="230">
        <f t="shared" si="13"/>
        <v>37134</v>
      </c>
      <c r="G145" s="145">
        <f>'Company Info'!A517</f>
        <v>48.05</v>
      </c>
      <c r="H145" s="232">
        <f t="shared" si="16"/>
        <v>1.4300000000000002</v>
      </c>
      <c r="I145" s="233">
        <f t="shared" si="18"/>
        <v>33.60139860139859</v>
      </c>
      <c r="J145" s="231"/>
      <c r="K145" s="64"/>
      <c r="L145" s="64"/>
      <c r="M145" s="64"/>
    </row>
    <row r="146" spans="1:10" s="95" customFormat="1" ht="12">
      <c r="A146" s="54"/>
      <c r="B146" s="225">
        <f t="shared" si="11"/>
        <v>36433</v>
      </c>
      <c r="C146" s="236">
        <f>'Company Info'!A494</f>
        <v>47.562</v>
      </c>
      <c r="D146" s="234">
        <f t="shared" si="17"/>
        <v>1.135</v>
      </c>
      <c r="E146" s="235">
        <f t="shared" si="20"/>
        <v>41.90484581497797</v>
      </c>
      <c r="F146" s="237">
        <f t="shared" si="13"/>
        <v>37164</v>
      </c>
      <c r="G146" s="236">
        <f>'Company Info'!A518</f>
        <v>49.5</v>
      </c>
      <c r="H146" s="234">
        <f t="shared" si="16"/>
        <v>1.4300000000000002</v>
      </c>
      <c r="I146" s="235">
        <f t="shared" si="18"/>
        <v>34.61538461538461</v>
      </c>
      <c r="J146" s="238"/>
    </row>
    <row r="147" spans="1:13" ht="12">
      <c r="A147" s="59"/>
      <c r="B147" s="224">
        <f t="shared" si="11"/>
        <v>36464</v>
      </c>
      <c r="C147" s="145">
        <f>'Company Info'!A495</f>
        <v>56.688</v>
      </c>
      <c r="D147" s="232">
        <f t="shared" si="17"/>
        <v>1.2</v>
      </c>
      <c r="E147" s="233">
        <f t="shared" si="20"/>
        <v>47.24</v>
      </c>
      <c r="F147" s="230">
        <f t="shared" si="13"/>
        <v>37195</v>
      </c>
      <c r="G147" s="145">
        <f>'Company Info'!A519</f>
        <v>51.4</v>
      </c>
      <c r="H147" s="232">
        <f t="shared" si="16"/>
        <v>1.4500000000000002</v>
      </c>
      <c r="I147" s="233">
        <f t="shared" si="18"/>
        <v>35.44827586206896</v>
      </c>
      <c r="J147" s="169"/>
      <c r="K147" s="64"/>
      <c r="L147" s="64"/>
      <c r="M147" s="64"/>
    </row>
    <row r="148" spans="1:10" s="95" customFormat="1" ht="12">
      <c r="A148" s="54"/>
      <c r="B148" s="225">
        <f t="shared" si="11"/>
        <v>36494</v>
      </c>
      <c r="C148" s="236">
        <f>'Company Info'!A496</f>
        <v>57.5</v>
      </c>
      <c r="D148" s="234">
        <f t="shared" si="17"/>
        <v>1.2</v>
      </c>
      <c r="E148" s="235">
        <f t="shared" si="20"/>
        <v>47.91666666666667</v>
      </c>
      <c r="F148" s="237">
        <f t="shared" si="13"/>
        <v>37225</v>
      </c>
      <c r="G148" s="236">
        <f>'Company Info'!A520</f>
        <v>55.15</v>
      </c>
      <c r="H148" s="234">
        <f t="shared" si="16"/>
        <v>1.4500000000000002</v>
      </c>
      <c r="I148" s="235">
        <f t="shared" si="18"/>
        <v>38.03448275862068</v>
      </c>
      <c r="J148" s="238"/>
    </row>
    <row r="149" spans="1:13" ht="12">
      <c r="A149" s="59"/>
      <c r="B149" s="224">
        <f t="shared" si="11"/>
        <v>36525</v>
      </c>
      <c r="C149" s="145">
        <f>'Company Info'!A497</f>
        <v>69.125</v>
      </c>
      <c r="D149" s="232">
        <f t="shared" si="17"/>
        <v>1.2</v>
      </c>
      <c r="E149" s="233">
        <f t="shared" si="20"/>
        <v>57.60416666666667</v>
      </c>
      <c r="F149" s="230">
        <f t="shared" si="13"/>
        <v>37256</v>
      </c>
      <c r="G149" s="145">
        <f>'Company Info'!A521</f>
        <v>57.55</v>
      </c>
      <c r="H149" s="232">
        <f t="shared" si="16"/>
        <v>1.4500000000000002</v>
      </c>
      <c r="I149" s="233">
        <f t="shared" si="18"/>
        <v>39.68965517241379</v>
      </c>
      <c r="J149" s="169"/>
      <c r="K149" s="64"/>
      <c r="L149" s="64"/>
      <c r="M149" s="64"/>
    </row>
    <row r="150" spans="1:10" s="95" customFormat="1" ht="12">
      <c r="A150" s="54"/>
      <c r="B150" s="225">
        <f t="shared" si="11"/>
        <v>36556</v>
      </c>
      <c r="C150" s="236">
        <f>'Company Info'!A498</f>
        <v>54.75</v>
      </c>
      <c r="D150" s="234">
        <f t="shared" si="17"/>
        <v>1.28</v>
      </c>
      <c r="E150" s="235">
        <f t="shared" si="20"/>
        <v>42.7734375</v>
      </c>
      <c r="F150" s="237">
        <f t="shared" si="13"/>
        <v>37287</v>
      </c>
      <c r="G150" s="236">
        <f>'Company Info'!A522</f>
        <v>59.98</v>
      </c>
      <c r="H150" s="234">
        <f t="shared" si="16"/>
        <v>1.49</v>
      </c>
      <c r="I150" s="235">
        <f t="shared" si="18"/>
        <v>40.25503355704698</v>
      </c>
      <c r="J150" s="238"/>
    </row>
    <row r="151" spans="1:13" ht="12">
      <c r="A151" s="59"/>
      <c r="B151" s="224">
        <f t="shared" si="11"/>
        <v>36585</v>
      </c>
      <c r="C151" s="145">
        <f>'Company Info'!A499</f>
        <v>48.875</v>
      </c>
      <c r="D151" s="232">
        <f t="shared" si="17"/>
        <v>1.28</v>
      </c>
      <c r="E151" s="233">
        <f t="shared" si="20"/>
        <v>38.18359375</v>
      </c>
      <c r="F151" s="230">
        <f t="shared" si="13"/>
        <v>37315</v>
      </c>
      <c r="G151" s="145">
        <f>'Company Info'!A523</f>
        <v>62.01</v>
      </c>
      <c r="H151" s="232">
        <f t="shared" si="16"/>
        <v>1.49</v>
      </c>
      <c r="I151" s="233">
        <f t="shared" si="18"/>
        <v>41.61744966442953</v>
      </c>
      <c r="J151" s="169"/>
      <c r="K151" s="64"/>
      <c r="L151" s="64"/>
      <c r="M151" s="64"/>
    </row>
    <row r="152" spans="1:13" s="95" customFormat="1" ht="12">
      <c r="A152" s="54"/>
      <c r="B152" s="239">
        <f>DATE(YEAR(F129),MONTH(F129),1)-1</f>
        <v>36616</v>
      </c>
      <c r="C152" s="240">
        <f>'Company Info'!A500</f>
        <v>56.5</v>
      </c>
      <c r="D152" s="244">
        <f t="shared" si="17"/>
        <v>1.28</v>
      </c>
      <c r="E152" s="245">
        <f t="shared" si="20"/>
        <v>44.140625</v>
      </c>
      <c r="F152" s="241">
        <f>DATE(YEAR(J129),MONTH(J129),1)-1</f>
        <v>37346</v>
      </c>
      <c r="G152" s="240">
        <f>'Company Info'!A524</f>
        <v>61.3</v>
      </c>
      <c r="H152" s="244">
        <f t="shared" si="16"/>
        <v>1.49</v>
      </c>
      <c r="I152" s="246">
        <f t="shared" si="18"/>
        <v>41.14093959731544</v>
      </c>
      <c r="J152" s="242"/>
      <c r="K152" s="243"/>
      <c r="L152" s="243"/>
      <c r="M152" s="243"/>
    </row>
    <row r="153" ht="12">
      <c r="A153" s="59"/>
    </row>
    <row r="154" spans="1:13" ht="12">
      <c r="A154" s="59"/>
      <c r="B154" s="64"/>
      <c r="C154" s="64"/>
      <c r="D154" s="64"/>
      <c r="E154" s="64"/>
      <c r="F154" s="64"/>
      <c r="G154" s="64"/>
      <c r="H154" s="64"/>
      <c r="I154" s="64"/>
      <c r="J154" s="64"/>
      <c r="K154" s="64"/>
      <c r="L154" s="64"/>
      <c r="M154" s="64"/>
    </row>
    <row r="155" spans="1:13" ht="12">
      <c r="A155" s="59"/>
      <c r="B155" s="275"/>
      <c r="C155" s="276"/>
      <c r="D155" s="276"/>
      <c r="E155" s="276"/>
      <c r="F155" s="276"/>
      <c r="G155" s="276"/>
      <c r="H155" s="276"/>
      <c r="I155" s="276"/>
      <c r="J155" s="276"/>
      <c r="K155" s="276"/>
      <c r="L155" s="276"/>
      <c r="M155" s="276"/>
    </row>
    <row r="156" spans="1:13" ht="12">
      <c r="A156" s="59"/>
      <c r="B156" s="64"/>
      <c r="C156" s="64"/>
      <c r="D156" s="64"/>
      <c r="E156" s="64"/>
      <c r="F156" s="64"/>
      <c r="G156" s="64"/>
      <c r="H156" s="64"/>
      <c r="I156" s="64"/>
      <c r="J156" s="64"/>
      <c r="K156" s="64"/>
      <c r="L156" s="64"/>
      <c r="M156" s="64"/>
    </row>
    <row r="157" ht="12">
      <c r="A157" s="59"/>
    </row>
    <row r="158" ht="12">
      <c r="A158" s="59"/>
    </row>
    <row r="159" ht="12">
      <c r="A159" s="59"/>
    </row>
    <row r="160" ht="12">
      <c r="A160" s="59"/>
    </row>
    <row r="161" ht="12">
      <c r="A161" s="59"/>
    </row>
    <row r="162" ht="12">
      <c r="A162" s="59"/>
    </row>
    <row r="163" ht="12">
      <c r="A163" s="59"/>
    </row>
    <row r="164" ht="12">
      <c r="A164" s="59"/>
    </row>
    <row r="165" ht="12">
      <c r="A165" s="59"/>
    </row>
    <row r="166" ht="12">
      <c r="A166" s="59"/>
    </row>
    <row r="167" ht="12">
      <c r="A167" s="59"/>
    </row>
    <row r="168" ht="12">
      <c r="A168" s="59"/>
    </row>
    <row r="169" ht="12">
      <c r="A169" s="59"/>
    </row>
    <row r="170" ht="12">
      <c r="A170" s="59"/>
    </row>
    <row r="171" ht="12">
      <c r="A171" s="59"/>
    </row>
    <row r="172" ht="12">
      <c r="A172" s="59"/>
    </row>
    <row r="173" ht="12">
      <c r="A173" s="59"/>
    </row>
    <row r="174" ht="12">
      <c r="A174" s="59"/>
    </row>
    <row r="175" ht="12">
      <c r="A175" s="59"/>
    </row>
    <row r="176" ht="12">
      <c r="A176" s="59"/>
    </row>
    <row r="177" ht="12">
      <c r="A177" s="59"/>
    </row>
    <row r="178" ht="12">
      <c r="A178" s="59"/>
    </row>
    <row r="179" ht="12">
      <c r="A179" s="59"/>
    </row>
    <row r="180" ht="12">
      <c r="A180" s="59"/>
    </row>
    <row r="181" ht="12">
      <c r="A181" s="59"/>
    </row>
    <row r="182" ht="12">
      <c r="A182" s="59"/>
    </row>
    <row r="183" ht="12">
      <c r="A183" s="59"/>
    </row>
    <row r="184" ht="12">
      <c r="A184" s="59"/>
    </row>
    <row r="185" ht="12">
      <c r="A185" s="59"/>
    </row>
    <row r="186" ht="12">
      <c r="A186" s="59"/>
    </row>
    <row r="187" ht="12">
      <c r="A187" s="59"/>
    </row>
    <row r="188" ht="12">
      <c r="A188" s="59"/>
    </row>
    <row r="189" ht="12">
      <c r="A189" s="59"/>
    </row>
    <row r="190" ht="12">
      <c r="A190" s="59"/>
    </row>
    <row r="191" ht="12">
      <c r="A191" s="59"/>
    </row>
    <row r="192" ht="12">
      <c r="A192" s="59"/>
    </row>
    <row r="193" ht="12">
      <c r="A193" s="59"/>
    </row>
    <row r="194" ht="12">
      <c r="A194" s="59"/>
    </row>
    <row r="195" ht="12">
      <c r="A195" s="59"/>
    </row>
    <row r="196" ht="12">
      <c r="A196" s="59"/>
    </row>
    <row r="197" ht="12">
      <c r="A197" s="59"/>
    </row>
    <row r="198" ht="12">
      <c r="A198" s="59"/>
    </row>
    <row r="199" ht="12">
      <c r="A199" s="59"/>
    </row>
    <row r="200" ht="12">
      <c r="A200" s="59"/>
    </row>
    <row r="201" ht="12">
      <c r="A201" s="59"/>
    </row>
    <row r="202" ht="12">
      <c r="A202" s="59"/>
    </row>
    <row r="203" ht="12">
      <c r="A203" s="59"/>
    </row>
    <row r="204" ht="12">
      <c r="A204" s="59"/>
    </row>
    <row r="205" ht="12">
      <c r="A205" s="59"/>
    </row>
    <row r="206" ht="12">
      <c r="A206" s="59"/>
    </row>
    <row r="207" ht="12">
      <c r="A207" s="59"/>
    </row>
    <row r="208" ht="12">
      <c r="A208" s="59"/>
    </row>
    <row r="209" ht="12">
      <c r="A209" s="59"/>
    </row>
    <row r="210" ht="12">
      <c r="A210" s="59"/>
    </row>
    <row r="211" ht="12">
      <c r="A211" s="59"/>
    </row>
    <row r="212" ht="12">
      <c r="A212" s="59"/>
    </row>
    <row r="213" ht="12">
      <c r="A213" s="59"/>
    </row>
    <row r="214" ht="12">
      <c r="A214" s="59"/>
    </row>
    <row r="215" ht="12">
      <c r="A215" s="59"/>
    </row>
    <row r="216" ht="12">
      <c r="A216" s="59"/>
    </row>
    <row r="217" ht="12">
      <c r="A217" s="59"/>
    </row>
    <row r="218" ht="12">
      <c r="A218" s="59"/>
    </row>
    <row r="219" ht="12">
      <c r="A219" s="59"/>
    </row>
    <row r="220" ht="12">
      <c r="A220" s="59"/>
    </row>
    <row r="221" ht="12">
      <c r="A221" s="59"/>
    </row>
    <row r="222" ht="12">
      <c r="A222" s="59"/>
    </row>
    <row r="223" ht="12">
      <c r="A223" s="59"/>
    </row>
    <row r="224" ht="12">
      <c r="A224" s="59"/>
    </row>
    <row r="225" ht="12">
      <c r="A225" s="59"/>
    </row>
    <row r="226" ht="12">
      <c r="A226" s="59"/>
    </row>
    <row r="227" ht="12">
      <c r="A227" s="59"/>
    </row>
    <row r="228" ht="12">
      <c r="A228" s="59"/>
    </row>
    <row r="229" ht="12">
      <c r="A229" s="59"/>
    </row>
    <row r="230" ht="12">
      <c r="A230" s="59"/>
    </row>
    <row r="231" ht="12">
      <c r="A231" s="59"/>
    </row>
    <row r="232" ht="12">
      <c r="A232" s="59"/>
    </row>
    <row r="233" ht="12">
      <c r="A233" s="59"/>
    </row>
    <row r="234" ht="12">
      <c r="A234" s="59"/>
    </row>
    <row r="235" ht="12">
      <c r="A235" s="59"/>
    </row>
    <row r="236" ht="12">
      <c r="A236" s="59"/>
    </row>
    <row r="237" ht="12">
      <c r="A237" s="59"/>
    </row>
    <row r="238" ht="12">
      <c r="A238" s="59"/>
    </row>
    <row r="239" ht="12">
      <c r="A239" s="59"/>
    </row>
    <row r="240" ht="12">
      <c r="A240" s="59"/>
    </row>
    <row r="241" ht="12">
      <c r="A241" s="146"/>
    </row>
    <row r="242" ht="12">
      <c r="A242" s="59"/>
    </row>
    <row r="243" ht="12">
      <c r="A243" s="59"/>
    </row>
    <row r="244" ht="12">
      <c r="A244" s="59"/>
    </row>
    <row r="245" ht="12">
      <c r="A245" s="59"/>
    </row>
    <row r="246" ht="12">
      <c r="A246" s="59"/>
    </row>
    <row r="247" ht="12">
      <c r="A247" s="59"/>
    </row>
    <row r="248" ht="12">
      <c r="A248" s="59"/>
    </row>
    <row r="249" ht="12">
      <c r="A249" s="59"/>
    </row>
    <row r="250" ht="12">
      <c r="A250" s="59"/>
    </row>
    <row r="251" ht="12">
      <c r="A251" s="59"/>
    </row>
    <row r="252" ht="12">
      <c r="A252" s="59"/>
    </row>
    <row r="253" ht="12">
      <c r="A253" s="59"/>
    </row>
    <row r="254" ht="12">
      <c r="A254" s="59"/>
    </row>
    <row r="255" ht="12">
      <c r="A255" s="59"/>
    </row>
    <row r="256" ht="12">
      <c r="A256" s="146"/>
    </row>
    <row r="257" ht="12">
      <c r="A257" s="59"/>
    </row>
    <row r="258" ht="12">
      <c r="A258" s="59"/>
    </row>
    <row r="259" ht="12">
      <c r="A259" s="59"/>
    </row>
    <row r="260" ht="12">
      <c r="A260" s="59"/>
    </row>
    <row r="261" ht="12">
      <c r="A261" s="59"/>
    </row>
    <row r="262" ht="12">
      <c r="A262" s="59"/>
    </row>
    <row r="263" ht="12">
      <c r="A263" s="59"/>
    </row>
    <row r="264" ht="12">
      <c r="A264" s="59"/>
    </row>
    <row r="265" ht="12">
      <c r="A265" s="59"/>
    </row>
    <row r="266" ht="12">
      <c r="A266" s="59"/>
    </row>
    <row r="267" ht="12">
      <c r="A267" s="59"/>
    </row>
    <row r="268" ht="12">
      <c r="A268" s="59"/>
    </row>
    <row r="269" ht="12">
      <c r="A269" s="59"/>
    </row>
    <row r="270" ht="12">
      <c r="A270" s="59"/>
    </row>
    <row r="271" ht="12">
      <c r="A271" s="59"/>
    </row>
    <row r="272" ht="12">
      <c r="A272" s="59"/>
    </row>
    <row r="273" ht="12">
      <c r="A273" s="59"/>
    </row>
    <row r="274" ht="12">
      <c r="A274" s="59"/>
    </row>
    <row r="275" ht="12">
      <c r="A275" s="59"/>
    </row>
    <row r="276" ht="12">
      <c r="A276" s="59"/>
    </row>
    <row r="277" ht="12">
      <c r="A277" s="59"/>
    </row>
    <row r="278" ht="12">
      <c r="A278" s="59"/>
    </row>
    <row r="279" ht="12">
      <c r="A279" s="59"/>
    </row>
    <row r="280" ht="12">
      <c r="A280" s="59"/>
    </row>
    <row r="281" ht="12">
      <c r="A281" s="59"/>
    </row>
    <row r="282" ht="12">
      <c r="A282" s="59"/>
    </row>
    <row r="283" ht="12">
      <c r="A283" s="59"/>
    </row>
    <row r="284" ht="12">
      <c r="A284" s="59"/>
    </row>
    <row r="285" ht="12">
      <c r="A285" s="59"/>
    </row>
    <row r="286" ht="12">
      <c r="A286" s="59"/>
    </row>
    <row r="287" ht="12">
      <c r="A287" s="59"/>
    </row>
    <row r="288" ht="12">
      <c r="A288" s="59"/>
    </row>
    <row r="289" ht="12">
      <c r="A289" s="59"/>
    </row>
    <row r="290" ht="12">
      <c r="A290" s="59"/>
    </row>
    <row r="291" ht="12">
      <c r="A291" s="59"/>
    </row>
    <row r="292" ht="12">
      <c r="A292" s="59"/>
    </row>
    <row r="293" ht="12">
      <c r="A293" s="59"/>
    </row>
    <row r="294" ht="12">
      <c r="A294" s="59"/>
    </row>
    <row r="295" ht="12">
      <c r="A295" s="59"/>
    </row>
    <row r="296" ht="12">
      <c r="A296" s="59"/>
    </row>
    <row r="297" ht="12">
      <c r="A297" s="59"/>
    </row>
    <row r="298" ht="12">
      <c r="A298" s="59"/>
    </row>
    <row r="299" ht="12">
      <c r="A299" s="59"/>
    </row>
    <row r="300" ht="12">
      <c r="A300" s="59"/>
    </row>
    <row r="301" ht="12">
      <c r="A301" s="59"/>
    </row>
  </sheetData>
  <sheetProtection sheet="1" objects="1" scenarios="1"/>
  <mergeCells count="10">
    <mergeCell ref="B155:M155"/>
    <mergeCell ref="L3:M3"/>
    <mergeCell ref="H5:I5"/>
    <mergeCell ref="C13:D13"/>
    <mergeCell ref="J143:M143"/>
    <mergeCell ref="J144:M144"/>
    <mergeCell ref="C8:E8"/>
    <mergeCell ref="B41:L41"/>
    <mergeCell ref="H3:I3"/>
    <mergeCell ref="A101:M126"/>
  </mergeCells>
  <conditionalFormatting sqref="E138 E136 E134 E132 E130">
    <cfRule type="expression" priority="1" dxfId="0" stopIfTrue="1">
      <formula>ISNA(E130)</formula>
    </cfRule>
  </conditionalFormatting>
  <conditionalFormatting sqref="E129 E131 E133 E135 E137 E139">
    <cfRule type="expression" priority="2" dxfId="1" stopIfTrue="1">
      <formula>ISNA(E129)</formula>
    </cfRule>
  </conditionalFormatting>
  <printOptions horizontalCentered="1"/>
  <pageMargins left="0.5" right="0.5" top="1" bottom="1" header="0.5" footer="0.5"/>
  <pageSetup fitToHeight="0" fitToWidth="1" horizontalDpi="300" verticalDpi="300" orientation="portrait" scale="60" r:id="rId3"/>
  <headerFooter alignWithMargins="0">
    <oddFooter>&amp;CData from NAIC's Online Premium Services and Standard &amp; Poor's, a division of The McGraw-Hill Companies, Inc. 
Copyright © 2002 Douglas Gerlach. All rights reserved.
http://www.douglasgerlach.com/education/ssg.html&amp;R&amp;P of &amp;N</oddFooter>
  </headerFooter>
  <rowBreaks count="1" manualBreakCount="1">
    <brk id="77" max="13"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N106"/>
  <sheetViews>
    <sheetView showGridLines="0" workbookViewId="0" topLeftCell="A1">
      <selection activeCell="A104" sqref="A104"/>
    </sheetView>
  </sheetViews>
  <sheetFormatPr defaultColWidth="9.00390625" defaultRowHeight="12.75"/>
  <cols>
    <col min="1" max="1" width="20.125" style="33" customWidth="1"/>
    <col min="2" max="2" width="9.875" style="32" customWidth="1"/>
    <col min="3" max="3" width="6.125" style="32" customWidth="1"/>
    <col min="4" max="4" width="7.375" style="32" customWidth="1"/>
    <col min="5" max="5" width="6.125" style="32" customWidth="1"/>
    <col min="6" max="6" width="8.00390625" style="32" customWidth="1"/>
    <col min="7" max="7" width="6.625" style="32" customWidth="1"/>
    <col min="8" max="8" width="7.375" style="32" customWidth="1"/>
    <col min="9" max="9" width="7.25390625" style="32" customWidth="1"/>
    <col min="10" max="11" width="6.625" style="32" customWidth="1"/>
    <col min="12" max="12" width="5.625" style="32" customWidth="1"/>
    <col min="13" max="16384" width="8.875" style="2" customWidth="1"/>
  </cols>
  <sheetData>
    <row r="1" spans="1:12" ht="12">
      <c r="A1" s="1" t="s">
        <v>206</v>
      </c>
      <c r="B1" s="2"/>
      <c r="C1" s="2"/>
      <c r="D1" s="2"/>
      <c r="E1" s="2"/>
      <c r="F1" s="2"/>
      <c r="G1" s="3"/>
      <c r="H1" s="3"/>
      <c r="I1" s="3"/>
      <c r="J1" s="3"/>
      <c r="K1" s="2"/>
      <c r="L1" s="3"/>
    </row>
    <row r="2" spans="1:12" ht="12">
      <c r="A2" s="1" t="s">
        <v>233</v>
      </c>
      <c r="B2" s="4" t="str">
        <f>'Company Info'!$A$236</f>
        <v>WAL-MART STORES</v>
      </c>
      <c r="C2" s="2"/>
      <c r="D2" s="2"/>
      <c r="E2" s="5"/>
      <c r="F2" s="2"/>
      <c r="G2" s="2"/>
      <c r="H2" s="2"/>
      <c r="I2" s="2"/>
      <c r="J2" s="2"/>
      <c r="K2" s="2"/>
      <c r="L2" s="2"/>
    </row>
    <row r="3" spans="1:12" ht="12">
      <c r="A3" s="1" t="s">
        <v>234</v>
      </c>
      <c r="B3" s="6">
        <f>'Company Info'!$A$240</f>
        <v>37736</v>
      </c>
      <c r="C3" s="2"/>
      <c r="D3" s="2"/>
      <c r="E3" s="5"/>
      <c r="F3" s="5"/>
      <c r="G3" s="5"/>
      <c r="H3" s="2"/>
      <c r="I3" s="2"/>
      <c r="J3" s="2"/>
      <c r="K3" s="2"/>
      <c r="L3" s="2"/>
    </row>
    <row r="4" spans="1:12" ht="12">
      <c r="A4" s="1" t="s">
        <v>235</v>
      </c>
      <c r="B4" s="4" t="str">
        <f>IF('Company Info'!$A$239="S","S&amp;P",IF('Company Info'!$A$239="V","Value Line","Other"))</f>
        <v>S&amp;P</v>
      </c>
      <c r="C4" s="2"/>
      <c r="D4" s="2"/>
      <c r="E4" s="5"/>
      <c r="F4" s="5"/>
      <c r="G4" s="5"/>
      <c r="H4" s="2"/>
      <c r="I4" s="2"/>
      <c r="J4" s="2"/>
      <c r="K4" s="2"/>
      <c r="L4" s="2"/>
    </row>
    <row r="5" spans="1:12" ht="12">
      <c r="A5" s="1" t="s">
        <v>236</v>
      </c>
      <c r="B5" s="4" t="str">
        <f>'Company Info'!$A$237</f>
        <v>WMT</v>
      </c>
      <c r="C5" s="2"/>
      <c r="D5" s="2"/>
      <c r="E5" s="5"/>
      <c r="F5" s="5"/>
      <c r="G5" s="5"/>
      <c r="H5" s="2"/>
      <c r="I5" s="2"/>
      <c r="J5" s="2"/>
      <c r="K5" s="2"/>
      <c r="L5" s="2"/>
    </row>
    <row r="6" spans="1:12" ht="12">
      <c r="A6" s="1" t="s">
        <v>237</v>
      </c>
      <c r="B6" s="4" t="str">
        <f>'Company Info'!$A$238</f>
        <v>NYSE</v>
      </c>
      <c r="C6" s="2"/>
      <c r="D6" s="2"/>
      <c r="E6" s="5"/>
      <c r="F6" s="5"/>
      <c r="G6" s="5"/>
      <c r="H6" s="2"/>
      <c r="I6" s="2"/>
      <c r="J6" s="2"/>
      <c r="K6" s="2"/>
      <c r="L6" s="2"/>
    </row>
    <row r="7" spans="1:12" ht="12">
      <c r="A7" s="1" t="s">
        <v>238</v>
      </c>
      <c r="B7" s="6" t="str">
        <f>'Company Info'!$A$244</f>
        <v>General Merchandise Stores</v>
      </c>
      <c r="C7" s="2"/>
      <c r="D7" s="2"/>
      <c r="E7" s="5"/>
      <c r="F7" s="5"/>
      <c r="G7" s="5"/>
      <c r="H7" s="2"/>
      <c r="I7" s="2"/>
      <c r="J7" s="2"/>
      <c r="K7" s="2"/>
      <c r="L7" s="2"/>
    </row>
    <row r="8" spans="1:12" ht="12">
      <c r="A8" s="1" t="s">
        <v>239</v>
      </c>
      <c r="B8" s="7">
        <f>'Company Info'!$A$91</f>
        <v>55</v>
      </c>
      <c r="C8" s="2"/>
      <c r="D8" s="2"/>
      <c r="E8" s="5"/>
      <c r="F8" s="5"/>
      <c r="G8" s="5"/>
      <c r="H8" s="2"/>
      <c r="I8" s="2"/>
      <c r="J8" s="2"/>
      <c r="K8" s="2"/>
      <c r="L8" s="2"/>
    </row>
    <row r="9" spans="1:12" ht="12">
      <c r="A9" s="1" t="s">
        <v>240</v>
      </c>
      <c r="B9" s="8">
        <f>'Company Info'!$A$92</f>
        <v>30.387</v>
      </c>
      <c r="C9" s="2"/>
      <c r="D9" s="2"/>
      <c r="E9" s="5"/>
      <c r="F9" s="5"/>
      <c r="G9" s="5"/>
      <c r="H9" s="2"/>
      <c r="I9" s="2"/>
      <c r="J9" s="2"/>
      <c r="K9" s="2"/>
      <c r="L9" s="2"/>
    </row>
    <row r="10" spans="1:12" ht="12">
      <c r="A10" s="1" t="s">
        <v>241</v>
      </c>
      <c r="B10" s="9">
        <f>'Company Info'!$A$93</f>
        <v>0.36</v>
      </c>
      <c r="C10" s="2"/>
      <c r="D10" s="2"/>
      <c r="E10" s="5"/>
      <c r="F10" s="5"/>
      <c r="G10" s="5"/>
      <c r="H10" s="2"/>
      <c r="I10" s="2"/>
      <c r="J10" s="2"/>
      <c r="K10" s="2"/>
      <c r="L10" s="2"/>
    </row>
    <row r="11" spans="1:12" ht="12">
      <c r="A11" s="1"/>
      <c r="B11" s="2"/>
      <c r="C11" s="2"/>
      <c r="D11" s="2"/>
      <c r="E11" s="2"/>
      <c r="F11" s="2"/>
      <c r="G11" s="2"/>
      <c r="H11" s="2"/>
      <c r="I11" s="2"/>
      <c r="J11" s="2"/>
      <c r="K11" s="2"/>
      <c r="L11" s="2"/>
    </row>
    <row r="12" spans="1:12" ht="12">
      <c r="A12" s="1" t="s">
        <v>207</v>
      </c>
      <c r="B12" s="2"/>
      <c r="C12" s="2"/>
      <c r="D12" s="2"/>
      <c r="E12" s="2"/>
      <c r="F12" s="2"/>
      <c r="G12" s="2"/>
      <c r="H12" s="2"/>
      <c r="I12" s="2"/>
      <c r="J12" s="2"/>
      <c r="K12" s="2"/>
      <c r="L12" s="2"/>
    </row>
    <row r="13" spans="1:12" ht="12">
      <c r="A13" s="1" t="s">
        <v>242</v>
      </c>
      <c r="B13" s="10">
        <f>'Company Info'!$A$98</f>
        <v>4395</v>
      </c>
      <c r="C13" s="5"/>
      <c r="D13" s="2"/>
      <c r="E13" s="2"/>
      <c r="F13" s="2"/>
      <c r="G13" s="2"/>
      <c r="H13" s="2"/>
      <c r="I13" s="2"/>
      <c r="J13" s="2"/>
      <c r="K13" s="2"/>
      <c r="L13" s="2"/>
    </row>
    <row r="14" spans="1:12" ht="12">
      <c r="A14" s="1" t="s">
        <v>243</v>
      </c>
      <c r="B14" s="11" t="str">
        <f>IF('Company Info'!$A$99&gt;=0,"n/a",('Company Info'!$A$99*1000000))</f>
        <v>n/a</v>
      </c>
      <c r="C14" s="5"/>
      <c r="D14" s="2"/>
      <c r="E14" s="2"/>
      <c r="F14" s="2"/>
      <c r="G14" s="2"/>
      <c r="H14" s="2"/>
      <c r="I14" s="2"/>
      <c r="J14" s="2"/>
      <c r="K14" s="2"/>
      <c r="L14" s="2"/>
    </row>
    <row r="15" spans="1:12" ht="12">
      <c r="A15" s="1" t="s">
        <v>244</v>
      </c>
      <c r="B15" s="11" t="str">
        <f>IF('Company Info'!$A$100&gt;=0,"n/a",('Company Info'!$A$100*1000000))</f>
        <v>n/a</v>
      </c>
      <c r="C15" s="5"/>
      <c r="D15" s="2"/>
      <c r="E15" s="2"/>
      <c r="F15" s="2"/>
      <c r="G15" s="2"/>
      <c r="H15" s="2"/>
      <c r="I15" s="2"/>
      <c r="J15" s="2"/>
      <c r="K15" s="2"/>
      <c r="L15" s="2"/>
    </row>
    <row r="16" spans="1:12" ht="12">
      <c r="A16" s="1" t="s">
        <v>245</v>
      </c>
      <c r="B16" s="11" t="str">
        <f>IF('Company Info'!$A$101&gt;=0,"n/a",('Company Info'!$A$101*1000000))</f>
        <v>n/a</v>
      </c>
      <c r="C16" s="5"/>
      <c r="D16" s="2"/>
      <c r="E16" s="2"/>
      <c r="F16" s="2"/>
      <c r="G16" s="2"/>
      <c r="H16" s="2"/>
      <c r="I16" s="2"/>
      <c r="J16" s="2"/>
      <c r="K16" s="2"/>
      <c r="L16" s="2"/>
    </row>
    <row r="17" spans="1:12" ht="12">
      <c r="A17" s="1" t="s">
        <v>246</v>
      </c>
      <c r="B17" s="12">
        <f>'Company Info'!$A$231</f>
        <v>0</v>
      </c>
      <c r="C17" s="5"/>
      <c r="D17" s="2"/>
      <c r="E17" s="2"/>
      <c r="F17" s="2"/>
      <c r="G17" s="2"/>
      <c r="H17" s="2"/>
      <c r="I17" s="2"/>
      <c r="J17" s="2"/>
      <c r="K17" s="2"/>
      <c r="L17" s="2"/>
    </row>
    <row r="18" spans="1:12" ht="12">
      <c r="A18" s="1" t="s">
        <v>247</v>
      </c>
      <c r="B18" s="12">
        <f>'Company Info'!$A$102</f>
        <v>25401</v>
      </c>
      <c r="C18" s="5"/>
      <c r="D18" s="2"/>
      <c r="E18" s="2"/>
      <c r="F18" s="2"/>
      <c r="G18" s="2"/>
      <c r="H18" s="2"/>
      <c r="I18" s="2"/>
      <c r="J18" s="2"/>
      <c r="K18" s="2"/>
      <c r="L18" s="2"/>
    </row>
    <row r="19" spans="1:12" ht="12">
      <c r="A19" s="1" t="s">
        <v>248</v>
      </c>
      <c r="B19" s="11">
        <f>'Company Info'!A103</f>
        <v>16</v>
      </c>
      <c r="C19" s="5"/>
      <c r="D19" s="2"/>
      <c r="E19" s="2"/>
      <c r="F19" s="2"/>
      <c r="G19" s="2"/>
      <c r="H19" s="2"/>
      <c r="I19" s="2"/>
      <c r="J19" s="2"/>
      <c r="K19" s="2"/>
      <c r="L19" s="2"/>
    </row>
    <row r="20" spans="1:12" ht="12">
      <c r="A20" s="1"/>
      <c r="B20" s="2"/>
      <c r="C20" s="2"/>
      <c r="D20" s="2"/>
      <c r="E20" s="2"/>
      <c r="F20" s="2"/>
      <c r="G20" s="2"/>
      <c r="H20" s="2"/>
      <c r="I20" s="2"/>
      <c r="J20" s="2"/>
      <c r="K20" s="2"/>
      <c r="L20" s="2"/>
    </row>
    <row r="21" spans="1:12" ht="12">
      <c r="A21" s="1" t="s">
        <v>249</v>
      </c>
      <c r="B21" s="2"/>
      <c r="C21" s="2"/>
      <c r="D21" s="2"/>
      <c r="E21" s="2"/>
      <c r="F21" s="2"/>
      <c r="G21" s="3"/>
      <c r="H21" s="3"/>
      <c r="I21" s="3"/>
      <c r="J21" s="3"/>
      <c r="K21" s="2"/>
      <c r="L21" s="3"/>
    </row>
    <row r="22" spans="1:12" ht="12">
      <c r="A22" s="1" t="s">
        <v>250</v>
      </c>
      <c r="B22" s="6">
        <f>'Company Info'!$A$255</f>
        <v>37652</v>
      </c>
      <c r="C22" s="2"/>
      <c r="D22" s="13"/>
      <c r="E22" s="2"/>
      <c r="F22" s="2"/>
      <c r="G22" s="3"/>
      <c r="H22" s="3"/>
      <c r="I22" s="3"/>
      <c r="J22" s="3"/>
      <c r="K22" s="2"/>
      <c r="L22" s="3"/>
    </row>
    <row r="23" spans="1:12" ht="12">
      <c r="A23" s="1" t="s">
        <v>251</v>
      </c>
      <c r="B23" s="12">
        <f>'Company Info'!$A$104</f>
        <v>71073</v>
      </c>
      <c r="C23" s="13"/>
      <c r="D23" s="13"/>
      <c r="E23" s="2"/>
      <c r="F23" s="2"/>
      <c r="G23" s="3"/>
      <c r="H23" s="3"/>
      <c r="I23" s="3"/>
      <c r="J23" s="3"/>
      <c r="K23" s="2"/>
      <c r="L23" s="3"/>
    </row>
    <row r="24" spans="1:12" ht="12">
      <c r="A24" s="1" t="s">
        <v>252</v>
      </c>
      <c r="B24" s="12">
        <f>'Company Info'!$A$105</f>
        <v>64211</v>
      </c>
      <c r="C24" s="13"/>
      <c r="D24" s="13"/>
      <c r="E24" s="2"/>
      <c r="F24" s="2"/>
      <c r="G24" s="3"/>
      <c r="H24" s="3"/>
      <c r="I24" s="3"/>
      <c r="J24" s="3"/>
      <c r="K24" s="2"/>
      <c r="L24" s="3"/>
    </row>
    <row r="25" spans="1:12" ht="12">
      <c r="A25" s="1" t="s">
        <v>253</v>
      </c>
      <c r="B25" s="14">
        <f>(B23-B24)/B24</f>
        <v>0.10686642475588295</v>
      </c>
      <c r="C25" s="13"/>
      <c r="D25" s="13"/>
      <c r="E25" s="2"/>
      <c r="F25" s="2"/>
      <c r="G25" s="3"/>
      <c r="H25" s="3"/>
      <c r="I25" s="3"/>
      <c r="J25" s="3"/>
      <c r="K25" s="2"/>
      <c r="L25" s="3"/>
    </row>
    <row r="26" spans="1:12" ht="12">
      <c r="A26" s="1"/>
      <c r="B26" s="14"/>
      <c r="C26" s="13"/>
      <c r="D26" s="14"/>
      <c r="E26" s="2"/>
      <c r="F26" s="2"/>
      <c r="G26" s="3"/>
      <c r="H26" s="3"/>
      <c r="I26" s="3"/>
      <c r="J26" s="3"/>
      <c r="K26" s="2"/>
      <c r="L26" s="3"/>
    </row>
    <row r="27" spans="1:12" ht="12">
      <c r="A27" s="1" t="s">
        <v>254</v>
      </c>
      <c r="B27" s="15">
        <f>'Company Info'!$A$106</f>
        <v>0.57</v>
      </c>
      <c r="C27" s="13"/>
      <c r="D27" s="14"/>
      <c r="E27" s="2"/>
      <c r="F27" s="2"/>
      <c r="G27" s="3"/>
      <c r="H27" s="3"/>
      <c r="I27" s="3"/>
      <c r="J27" s="3"/>
      <c r="K27" s="2"/>
      <c r="L27" s="3"/>
    </row>
    <row r="28" spans="1:12" ht="12">
      <c r="A28" s="1" t="s">
        <v>255</v>
      </c>
      <c r="B28" s="15">
        <f>'Company Info'!$A$107</f>
        <v>0.49</v>
      </c>
      <c r="C28" s="13"/>
      <c r="D28" s="14"/>
      <c r="E28" s="2"/>
      <c r="F28" s="2"/>
      <c r="G28" s="3"/>
      <c r="H28" s="3"/>
      <c r="I28" s="3"/>
      <c r="J28" s="3"/>
      <c r="K28" s="2"/>
      <c r="L28" s="3"/>
    </row>
    <row r="29" spans="1:12" ht="12">
      <c r="A29" s="1" t="s">
        <v>256</v>
      </c>
      <c r="B29" s="14">
        <f>(B27-B28)/B28</f>
        <v>0.1632653061224489</v>
      </c>
      <c r="C29" s="14"/>
      <c r="D29" s="2"/>
      <c r="E29" s="2"/>
      <c r="F29" s="2"/>
      <c r="G29" s="3"/>
      <c r="H29" s="3"/>
      <c r="I29" s="3"/>
      <c r="J29" s="3"/>
      <c r="K29" s="2"/>
      <c r="L29" s="3"/>
    </row>
    <row r="30" spans="1:12" ht="12">
      <c r="A30" s="1"/>
      <c r="B30" s="2"/>
      <c r="C30" s="2"/>
      <c r="D30" s="2"/>
      <c r="E30" s="2"/>
      <c r="F30" s="2"/>
      <c r="G30" s="3"/>
      <c r="H30" s="3"/>
      <c r="I30" s="3"/>
      <c r="J30" s="3"/>
      <c r="K30" s="2"/>
      <c r="L30" s="3"/>
    </row>
    <row r="31" spans="1:12" ht="12">
      <c r="A31" s="1" t="s">
        <v>208</v>
      </c>
      <c r="B31" s="2"/>
      <c r="C31" s="2"/>
      <c r="D31" s="2"/>
      <c r="E31" s="2"/>
      <c r="F31" s="2"/>
      <c r="G31" s="3"/>
      <c r="H31" s="3"/>
      <c r="I31" s="3"/>
      <c r="J31" s="3"/>
      <c r="K31" s="2"/>
      <c r="L31" s="3"/>
    </row>
    <row r="32" spans="1:12" ht="12">
      <c r="A32" s="1"/>
      <c r="B32" s="2"/>
      <c r="C32" s="2"/>
      <c r="D32" s="2"/>
      <c r="E32" s="2"/>
      <c r="F32" s="2"/>
      <c r="G32" s="3"/>
      <c r="H32" s="3"/>
      <c r="I32" s="3"/>
      <c r="J32" s="3"/>
      <c r="K32" s="2"/>
      <c r="L32" s="3"/>
    </row>
    <row r="33" spans="1:12" ht="12">
      <c r="A33" s="1" t="s">
        <v>257</v>
      </c>
      <c r="B33" s="2">
        <f>'Company Info'!$A$94-9</f>
        <v>1992</v>
      </c>
      <c r="C33" s="2">
        <f>'Company Info'!$A$94-8</f>
        <v>1993</v>
      </c>
      <c r="D33" s="2">
        <f>'Company Info'!$A$94-7</f>
        <v>1994</v>
      </c>
      <c r="E33" s="2">
        <f>'Company Info'!$A$94-6</f>
        <v>1995</v>
      </c>
      <c r="F33" s="2">
        <f>'Company Info'!$A$94-5</f>
        <v>1996</v>
      </c>
      <c r="G33" s="2">
        <f>'Company Info'!$A$94-4</f>
        <v>1997</v>
      </c>
      <c r="H33" s="2">
        <f>'Company Info'!$A$94-3</f>
        <v>1998</v>
      </c>
      <c r="I33" s="2">
        <f>'Company Info'!$A$94-2</f>
        <v>1999</v>
      </c>
      <c r="J33" s="2">
        <f>'Company Info'!$A$94-1</f>
        <v>2000</v>
      </c>
      <c r="K33" s="2">
        <f>'Company Info'!$A$94</f>
        <v>2001</v>
      </c>
      <c r="L33" s="2"/>
    </row>
    <row r="34" spans="1:12" ht="12">
      <c r="A34" s="1" t="s">
        <v>258</v>
      </c>
      <c r="B34" s="16">
        <f>'Company Info'!$A$21</f>
        <v>55483.771</v>
      </c>
      <c r="C34" s="16">
        <f>'Company Info'!$A$22</f>
        <v>67344.574</v>
      </c>
      <c r="D34" s="16">
        <f>'Company Info'!$A$23</f>
        <v>82494</v>
      </c>
      <c r="E34" s="16">
        <f>'Company Info'!$A$24</f>
        <v>93627</v>
      </c>
      <c r="F34" s="16">
        <f>'Company Info'!$A$25</f>
        <v>104859</v>
      </c>
      <c r="G34" s="16">
        <f>'Company Info'!$A$26</f>
        <v>117958</v>
      </c>
      <c r="H34" s="16">
        <f>'Company Info'!$A$27</f>
        <v>137634</v>
      </c>
      <c r="I34" s="16">
        <f>'Company Info'!$A$28</f>
        <v>165013</v>
      </c>
      <c r="J34" s="16">
        <f>'Company Info'!$A$29</f>
        <v>191329</v>
      </c>
      <c r="K34" s="16">
        <f>'Company Info'!$A$30</f>
        <v>217799</v>
      </c>
      <c r="L34" s="16"/>
    </row>
    <row r="35" spans="1:12" ht="12">
      <c r="A35" s="1" t="s">
        <v>259</v>
      </c>
      <c r="B35" s="3">
        <f>'Company Info'!$A$71</f>
        <v>0.435</v>
      </c>
      <c r="C35" s="3">
        <f>'Company Info'!$A$72</f>
        <v>0.51</v>
      </c>
      <c r="D35" s="3">
        <f>'Company Info'!$A$73</f>
        <v>0.585</v>
      </c>
      <c r="E35" s="3">
        <f>'Company Info'!$A$74</f>
        <v>0.595</v>
      </c>
      <c r="F35" s="3">
        <f>'Company Info'!$A$75</f>
        <v>0.665</v>
      </c>
      <c r="G35" s="3">
        <f>'Company Info'!$A$76</f>
        <v>0.78</v>
      </c>
      <c r="H35" s="3">
        <f>'Company Info'!$A$77</f>
        <v>0.99</v>
      </c>
      <c r="I35" s="3">
        <f>'Company Info'!$A$78</f>
        <v>1.28</v>
      </c>
      <c r="J35" s="3">
        <f>'Company Info'!$A$79</f>
        <v>1.4</v>
      </c>
      <c r="K35" s="3">
        <f>'Company Info'!$A$80</f>
        <v>1.49</v>
      </c>
      <c r="L35" s="3"/>
    </row>
    <row r="36" spans="1:12" ht="12">
      <c r="A36" s="1" t="s">
        <v>260</v>
      </c>
      <c r="B36" s="16">
        <f>'Company Info'!$A$41</f>
        <v>3166.339</v>
      </c>
      <c r="C36" s="16">
        <f>'Company Info'!$A$42</f>
        <v>3691.578</v>
      </c>
      <c r="D36" s="16">
        <f>'Company Info'!$A$43</f>
        <v>4262</v>
      </c>
      <c r="E36" s="16">
        <f>'Company Info'!$A$44</f>
        <v>4346</v>
      </c>
      <c r="F36" s="16">
        <f>'Company Info'!$A$45</f>
        <v>4850</v>
      </c>
      <c r="G36" s="16">
        <f>'Company Info'!$A$46</f>
        <v>5641</v>
      </c>
      <c r="H36" s="16">
        <f>'Company Info'!$A$47</f>
        <v>7170</v>
      </c>
      <c r="I36" s="16">
        <f>'Company Info'!$A$48</f>
        <v>9083</v>
      </c>
      <c r="J36" s="16">
        <f>'Company Info'!$A$49</f>
        <v>10116</v>
      </c>
      <c r="K36" s="16">
        <f>'Company Info'!$A$50</f>
        <v>10751</v>
      </c>
      <c r="L36" s="16"/>
    </row>
    <row r="37" spans="1:12" ht="12">
      <c r="A37" s="1" t="s">
        <v>261</v>
      </c>
      <c r="B37" s="3">
        <f>'Company Info'!$A$1</f>
        <v>16.469</v>
      </c>
      <c r="C37" s="3">
        <f>'Company Info'!$A$2</f>
        <v>17.062</v>
      </c>
      <c r="D37" s="3">
        <f>'Company Info'!$A$3</f>
        <v>14.625</v>
      </c>
      <c r="E37" s="3">
        <f>'Company Info'!$A$4</f>
        <v>13.812</v>
      </c>
      <c r="F37" s="3">
        <f>'Company Info'!$A$5</f>
        <v>14.125</v>
      </c>
      <c r="G37" s="3">
        <f>'Company Info'!$A$6</f>
        <v>20.968</v>
      </c>
      <c r="H37" s="3">
        <f>'Company Info'!$A$7</f>
        <v>43.219</v>
      </c>
      <c r="I37" s="3">
        <f>'Company Info'!$A$8</f>
        <v>70.25</v>
      </c>
      <c r="J37" s="3">
        <f>'Company Info'!$A$9</f>
        <v>64.938</v>
      </c>
      <c r="K37" s="3">
        <f>'Company Info'!$A$10</f>
        <v>59.98</v>
      </c>
      <c r="L37" s="3"/>
    </row>
    <row r="38" spans="1:12" ht="12">
      <c r="A38" s="1" t="s">
        <v>262</v>
      </c>
      <c r="B38" s="3">
        <f>'Company Info'!$A$11</f>
        <v>12.531</v>
      </c>
      <c r="C38" s="3">
        <f>'Company Info'!$A$12</f>
        <v>11.5</v>
      </c>
      <c r="D38" s="3">
        <f>'Company Info'!$A$13</f>
        <v>10.25</v>
      </c>
      <c r="E38" s="3">
        <f>'Company Info'!$A$14</f>
        <v>9.562</v>
      </c>
      <c r="F38" s="3">
        <f>'Company Info'!$A$15</f>
        <v>10.062</v>
      </c>
      <c r="G38" s="3">
        <f>'Company Info'!$A$16</f>
        <v>11.5</v>
      </c>
      <c r="H38" s="3">
        <f>'Company Info'!$A$17</f>
        <v>20.093</v>
      </c>
      <c r="I38" s="3">
        <f>'Company Info'!$A$18</f>
        <v>38.875</v>
      </c>
      <c r="J38" s="3">
        <f>'Company Info'!$A$19</f>
        <v>41.438</v>
      </c>
      <c r="K38" s="3">
        <f>'Company Info'!$A$20</f>
        <v>41.5</v>
      </c>
      <c r="L38" s="3"/>
    </row>
    <row r="39" spans="1:12" ht="12">
      <c r="A39" s="1"/>
      <c r="B39" s="2"/>
      <c r="C39" s="2"/>
      <c r="D39" s="2"/>
      <c r="E39" s="2"/>
      <c r="F39" s="2"/>
      <c r="G39" s="3"/>
      <c r="H39" s="3"/>
      <c r="I39" s="3"/>
      <c r="J39" s="3"/>
      <c r="K39" s="2"/>
      <c r="L39" s="3"/>
    </row>
    <row r="40" spans="1:12" ht="12">
      <c r="A40" s="1" t="s">
        <v>263</v>
      </c>
      <c r="B40" s="17">
        <f>LOGEST(B34:K34)-1</f>
        <v>0.1590673526173514</v>
      </c>
      <c r="C40" s="2"/>
      <c r="D40" s="13"/>
      <c r="E40" s="13"/>
      <c r="F40" s="13"/>
      <c r="G40" s="13"/>
      <c r="H40" s="2"/>
      <c r="I40" s="13"/>
      <c r="J40" s="13"/>
      <c r="K40" s="13"/>
      <c r="L40" s="13"/>
    </row>
    <row r="41" spans="1:12" ht="12">
      <c r="A41" s="1" t="s">
        <v>264</v>
      </c>
      <c r="B41" s="17">
        <f>LOGEST(G34:K34)-1</f>
        <v>0.16834526599856647</v>
      </c>
      <c r="C41" s="2"/>
      <c r="D41" s="13"/>
      <c r="E41" s="13"/>
      <c r="F41" s="13"/>
      <c r="G41" s="13"/>
      <c r="H41" s="2"/>
      <c r="I41" s="13"/>
      <c r="J41" s="13"/>
      <c r="K41" s="13"/>
      <c r="L41" s="13"/>
    </row>
    <row r="42" spans="1:12" ht="12">
      <c r="A42" s="1" t="s">
        <v>265</v>
      </c>
      <c r="B42" s="17" t="str">
        <f>IF(('Company Info'!$A$128)&lt;=0,"n/a",('Company Info'!$A$128))</f>
        <v>n/a</v>
      </c>
      <c r="C42" s="2"/>
      <c r="D42" s="13"/>
      <c r="E42" s="13"/>
      <c r="F42" s="13"/>
      <c r="G42" s="13"/>
      <c r="H42" s="2"/>
      <c r="I42" s="2"/>
      <c r="J42" s="2"/>
      <c r="K42" s="2"/>
      <c r="L42" s="17"/>
    </row>
    <row r="43" spans="1:12" ht="12">
      <c r="A43" s="1" t="s">
        <v>266</v>
      </c>
      <c r="B43" s="18" t="str">
        <f>IF(('Company Info'!$A$134)&lt;=0,"n/a",('Company Info'!$A$134))</f>
        <v>n/a</v>
      </c>
      <c r="C43" s="2"/>
      <c r="D43" s="13"/>
      <c r="E43" s="13"/>
      <c r="F43" s="13"/>
      <c r="G43" s="13"/>
      <c r="H43" s="2"/>
      <c r="I43" s="2"/>
      <c r="J43" s="2"/>
      <c r="K43" s="2"/>
      <c r="L43" s="17"/>
    </row>
    <row r="44" spans="1:12" ht="12">
      <c r="A44" s="1" t="s">
        <v>267</v>
      </c>
      <c r="B44" s="17">
        <f>LOGEST(B35:K35)-1</f>
        <v>0.1548235023574136</v>
      </c>
      <c r="C44" s="2"/>
      <c r="D44" s="13"/>
      <c r="E44" s="2"/>
      <c r="F44" s="2"/>
      <c r="G44" s="17"/>
      <c r="H44" s="2"/>
      <c r="I44" s="2"/>
      <c r="J44" s="2"/>
      <c r="K44" s="2"/>
      <c r="L44" s="17"/>
    </row>
    <row r="45" spans="1:12" ht="12">
      <c r="A45" s="1" t="s">
        <v>268</v>
      </c>
      <c r="B45" s="17">
        <f>LOGEST(G35:K35)-1</f>
        <v>0.17833185148373265</v>
      </c>
      <c r="C45" s="2"/>
      <c r="D45" s="13"/>
      <c r="E45" s="2"/>
      <c r="F45" s="2"/>
      <c r="G45" s="17"/>
      <c r="H45" s="2"/>
      <c r="I45" s="2"/>
      <c r="J45" s="2"/>
      <c r="K45" s="2"/>
      <c r="L45" s="17"/>
    </row>
    <row r="46" spans="1:12" ht="12">
      <c r="A46" s="1" t="s">
        <v>269</v>
      </c>
      <c r="B46" s="17" t="str">
        <f>IF(('Company Info'!$A$198)&lt;=0,"n/a",('Company Info'!$A$198))</f>
        <v>n/a</v>
      </c>
      <c r="C46" s="2"/>
      <c r="D46" s="13"/>
      <c r="E46" s="2"/>
      <c r="F46" s="2"/>
      <c r="G46" s="17"/>
      <c r="H46" s="2"/>
      <c r="I46" s="2"/>
      <c r="J46" s="2"/>
      <c r="K46" s="2"/>
      <c r="L46" s="17"/>
    </row>
    <row r="47" spans="1:12" ht="12">
      <c r="A47" s="1" t="s">
        <v>270</v>
      </c>
      <c r="B47" s="19" t="str">
        <f>IF(('Company Info'!$A$150)&lt;=0,"n/a",('Company Info'!$A$150))</f>
        <v>n/a</v>
      </c>
      <c r="C47" s="2"/>
      <c r="D47" s="13"/>
      <c r="E47" s="2"/>
      <c r="F47" s="2"/>
      <c r="G47" s="17"/>
      <c r="H47" s="2"/>
      <c r="I47" s="2"/>
      <c r="J47" s="2"/>
      <c r="K47" s="2"/>
      <c r="L47" s="17"/>
    </row>
    <row r="48" spans="1:12" ht="12">
      <c r="A48" s="1" t="s">
        <v>271</v>
      </c>
      <c r="B48" s="17">
        <f>'Company Info'!$A$229</f>
        <v>0.14</v>
      </c>
      <c r="C48" s="2"/>
      <c r="D48" s="13"/>
      <c r="E48" s="2"/>
      <c r="F48" s="2"/>
      <c r="G48" s="17"/>
      <c r="H48" s="2"/>
      <c r="I48" s="2"/>
      <c r="J48" s="2"/>
      <c r="K48" s="2"/>
      <c r="L48" s="17"/>
    </row>
    <row r="49" spans="1:12" ht="12">
      <c r="A49" s="1" t="s">
        <v>272</v>
      </c>
      <c r="B49" s="19">
        <f>IF(('Company Info'!$A$109)&lt;=0,"n/a",('Company Info'!$A$109))</f>
        <v>3.435</v>
      </c>
      <c r="C49" s="2"/>
      <c r="D49" s="13"/>
      <c r="E49" s="2"/>
      <c r="F49" s="2"/>
      <c r="G49" s="17"/>
      <c r="H49" s="2"/>
      <c r="I49" s="2"/>
      <c r="J49" s="2"/>
      <c r="K49" s="2"/>
      <c r="L49" s="17"/>
    </row>
    <row r="50" spans="1:12" ht="12">
      <c r="A50" s="1"/>
      <c r="B50" s="17"/>
      <c r="C50" s="2"/>
      <c r="D50" s="2"/>
      <c r="E50" s="2"/>
      <c r="F50" s="2"/>
      <c r="G50" s="17"/>
      <c r="H50" s="2"/>
      <c r="I50" s="2"/>
      <c r="J50" s="2"/>
      <c r="K50" s="2"/>
      <c r="L50" s="17"/>
    </row>
    <row r="51" spans="1:12" ht="12">
      <c r="A51" s="1" t="s">
        <v>212</v>
      </c>
      <c r="B51" s="2"/>
      <c r="C51" s="2"/>
      <c r="D51" s="2"/>
      <c r="E51" s="2"/>
      <c r="F51" s="2"/>
      <c r="G51" s="3"/>
      <c r="H51" s="3"/>
      <c r="I51" s="3"/>
      <c r="J51" s="3"/>
      <c r="K51" s="2"/>
      <c r="L51" s="2"/>
    </row>
    <row r="52" spans="1:14" ht="12">
      <c r="A52" s="1" t="s">
        <v>257</v>
      </c>
      <c r="B52" s="2">
        <f>'Company Info'!$A$94-9</f>
        <v>1992</v>
      </c>
      <c r="C52" s="2">
        <f>'Company Info'!$A$94-8</f>
        <v>1993</v>
      </c>
      <c r="D52" s="2">
        <f>'Company Info'!$A$94-7</f>
        <v>1994</v>
      </c>
      <c r="E52" s="2">
        <f>'Company Info'!$A$94-6</f>
        <v>1995</v>
      </c>
      <c r="F52" s="2">
        <f>'Company Info'!$A$94-5</f>
        <v>1996</v>
      </c>
      <c r="G52" s="2">
        <f>'Company Info'!$A$94-4</f>
        <v>1997</v>
      </c>
      <c r="H52" s="2">
        <f>'Company Info'!$A$94-3</f>
        <v>1998</v>
      </c>
      <c r="I52" s="2">
        <f>'Company Info'!$A$94-2</f>
        <v>1999</v>
      </c>
      <c r="J52" s="2">
        <f>'Company Info'!$A$94-1</f>
        <v>2000</v>
      </c>
      <c r="K52" s="2">
        <f>'Company Info'!$A$94</f>
        <v>2001</v>
      </c>
      <c r="L52" s="20"/>
      <c r="M52" s="20"/>
      <c r="N52" s="20"/>
    </row>
    <row r="53" spans="1:14" ht="12">
      <c r="A53" s="1" t="s">
        <v>273</v>
      </c>
      <c r="B53" s="17">
        <f>'Company Info'!A41/'Company Info'!A21</f>
        <v>0.05706784061234771</v>
      </c>
      <c r="C53" s="17">
        <f>'Company Info'!A42/'Company Info'!A22</f>
        <v>0.054816264781777375</v>
      </c>
      <c r="D53" s="17">
        <f>'Company Info'!A43/'Company Info'!A23</f>
        <v>0.05166436346885834</v>
      </c>
      <c r="E53" s="17">
        <f>'Company Info'!A44/'Company Info'!A24</f>
        <v>0.04641823405641535</v>
      </c>
      <c r="F53" s="17">
        <f>'Company Info'!A45/'Company Info'!A25</f>
        <v>0.04625258680704565</v>
      </c>
      <c r="G53" s="17">
        <f>'Company Info'!A46/'Company Info'!A26</f>
        <v>0.04782210617338375</v>
      </c>
      <c r="H53" s="17">
        <f>'Company Info'!A47/'Company Info'!A27</f>
        <v>0.05209468590609878</v>
      </c>
      <c r="I53" s="17">
        <f>'Company Info'!A48/'Company Info'!A28</f>
        <v>0.05504414803682134</v>
      </c>
      <c r="J53" s="17">
        <f>'Company Info'!A49/'Company Info'!A29</f>
        <v>0.05287227759513717</v>
      </c>
      <c r="K53" s="17">
        <f>'Company Info'!A50/'Company Info'!A30</f>
        <v>0.0493620264555852</v>
      </c>
      <c r="L53" s="20"/>
      <c r="M53" s="20"/>
      <c r="N53" s="20"/>
    </row>
    <row r="54" spans="1:14" ht="12">
      <c r="A54" s="1" t="s">
        <v>274</v>
      </c>
      <c r="B54" s="17">
        <f>'Company Info'!$A$71/'Company Info'!$A$61</f>
        <v>0.22834645669291337</v>
      </c>
      <c r="C54" s="17">
        <f>'Company Info'!$A$72/'Company Info'!$A$62</f>
        <v>0.21813515825491872</v>
      </c>
      <c r="D54" s="17">
        <f>'Company Info'!$A$73/'Company Info'!$A$63</f>
        <v>0.21119133574007218</v>
      </c>
      <c r="E54" s="17">
        <f>'Company Info'!$A$74/'Company Info'!$A$64</f>
        <v>0.18495492695057505</v>
      </c>
      <c r="F54" s="17">
        <f>'Company Info'!$A$75/'Company Info'!$A$65</f>
        <v>0.17728605705145295</v>
      </c>
      <c r="G54" s="17">
        <f>'Company Info'!$A$76/'Company Info'!$A$66</f>
        <v>0.18895348837209303</v>
      </c>
      <c r="H54" s="17">
        <f>'Company Info'!$A$77/'Company Info'!$A$67</f>
        <v>0.2085527701706341</v>
      </c>
      <c r="I54" s="17">
        <f>'Company Info'!$A$78/'Company Info'!$A$68</f>
        <v>0.22084195997239475</v>
      </c>
      <c r="J54" s="17">
        <f>'Company Info'!$A$79/'Company Info'!$A$69</f>
        <v>0.19965772960638906</v>
      </c>
      <c r="K54" s="17">
        <f>'Company Info'!$A$80/'Company Info'!$A$70</f>
        <v>0.189014334644171</v>
      </c>
      <c r="L54" s="20"/>
      <c r="M54" s="20"/>
      <c r="N54" s="20"/>
    </row>
    <row r="55" spans="1:12" ht="12">
      <c r="A55" s="20"/>
      <c r="B55" s="20"/>
      <c r="C55" s="2"/>
      <c r="D55" s="2"/>
      <c r="E55" s="2"/>
      <c r="F55" s="2"/>
      <c r="G55" s="3"/>
      <c r="H55" s="3"/>
      <c r="I55" s="3"/>
      <c r="J55" s="3"/>
      <c r="K55" s="2"/>
      <c r="L55" s="2"/>
    </row>
    <row r="56" spans="1:12" ht="12">
      <c r="A56" s="2" t="s">
        <v>275</v>
      </c>
      <c r="B56" s="21">
        <f>AVERAGE(G53:K53)</f>
        <v>0.05143904883340524</v>
      </c>
      <c r="C56" s="2" t="str">
        <f>IF((K53&gt;B56),"TREND UP","TREND DOWN")</f>
        <v>TREND DOWN</v>
      </c>
      <c r="D56" s="20"/>
      <c r="E56" s="2"/>
      <c r="F56" s="2"/>
      <c r="G56" s="3"/>
      <c r="H56" s="3"/>
      <c r="I56" s="3"/>
      <c r="J56" s="3"/>
      <c r="K56" s="2"/>
      <c r="L56" s="2"/>
    </row>
    <row r="57" spans="1:12" ht="12">
      <c r="A57" s="2" t="s">
        <v>276</v>
      </c>
      <c r="B57" s="21">
        <f>AVERAGE(G54:K54)</f>
        <v>0.2014040565531364</v>
      </c>
      <c r="C57" s="2" t="str">
        <f>IF((K54&gt;B57),"TREND UP","TREND DOWN")</f>
        <v>TREND DOWN</v>
      </c>
      <c r="D57" s="20"/>
      <c r="E57" s="2"/>
      <c r="F57" s="2"/>
      <c r="G57" s="3"/>
      <c r="H57" s="3"/>
      <c r="I57" s="3"/>
      <c r="J57" s="3"/>
      <c r="K57" s="2"/>
      <c r="L57" s="2"/>
    </row>
    <row r="58" spans="1:12" ht="12">
      <c r="A58" s="2"/>
      <c r="B58" s="21"/>
      <c r="C58" s="2"/>
      <c r="D58" s="2"/>
      <c r="E58" s="2"/>
      <c r="F58" s="2"/>
      <c r="G58" s="3"/>
      <c r="H58" s="3"/>
      <c r="I58" s="3"/>
      <c r="J58" s="3"/>
      <c r="K58" s="2"/>
      <c r="L58" s="2"/>
    </row>
    <row r="59" spans="1:12" ht="12">
      <c r="A59" s="1" t="s">
        <v>213</v>
      </c>
      <c r="B59" s="2"/>
      <c r="C59" s="2"/>
      <c r="D59" s="2"/>
      <c r="E59" s="2"/>
      <c r="F59" s="2"/>
      <c r="G59" s="2"/>
      <c r="H59" s="2"/>
      <c r="I59" s="2"/>
      <c r="J59" s="2"/>
      <c r="K59" s="2"/>
      <c r="L59" s="2"/>
    </row>
    <row r="60" spans="1:12" ht="12">
      <c r="A60" s="22"/>
      <c r="B60" s="23"/>
      <c r="C60" s="2"/>
      <c r="D60" s="2"/>
      <c r="E60" s="2"/>
      <c r="F60" s="2"/>
      <c r="G60" s="2"/>
      <c r="H60" s="2"/>
      <c r="I60" s="2"/>
      <c r="J60" s="2"/>
      <c r="K60" s="2"/>
      <c r="L60" s="2"/>
    </row>
    <row r="61" spans="1:12" ht="12">
      <c r="A61" s="1" t="s">
        <v>277</v>
      </c>
      <c r="B61" s="2" t="s">
        <v>278</v>
      </c>
      <c r="C61" s="2" t="s">
        <v>279</v>
      </c>
      <c r="D61" s="2" t="s">
        <v>217</v>
      </c>
      <c r="E61" s="2" t="s">
        <v>280</v>
      </c>
      <c r="F61" s="2" t="s">
        <v>281</v>
      </c>
      <c r="G61" s="2" t="s">
        <v>220</v>
      </c>
      <c r="H61" s="2" t="s">
        <v>282</v>
      </c>
      <c r="I61" s="2" t="s">
        <v>283</v>
      </c>
      <c r="J61" s="2"/>
      <c r="K61" s="2"/>
      <c r="L61" s="2"/>
    </row>
    <row r="62" spans="1:12" ht="12">
      <c r="A62" s="22" t="str">
        <f>CONCATENATE('Company Info'!$A$94-4," ...................")</f>
        <v>1997 ...................</v>
      </c>
      <c r="B62" s="3">
        <f>'Company Info'!$A$6</f>
        <v>20.968</v>
      </c>
      <c r="C62" s="3">
        <f>'Company Info'!$A$16</f>
        <v>11.5</v>
      </c>
      <c r="D62" s="3">
        <f>'Company Info'!$A$76</f>
        <v>0.78</v>
      </c>
      <c r="E62" s="16">
        <f>B62/D62</f>
        <v>26.882051282051282</v>
      </c>
      <c r="F62" s="16">
        <f>C62/D62</f>
        <v>14.743589743589743</v>
      </c>
      <c r="G62" s="3">
        <f>'Company Info'!$A$86</f>
        <v>0.135</v>
      </c>
      <c r="H62" s="17">
        <f>G62/D62</f>
        <v>0.17307692307692307</v>
      </c>
      <c r="I62" s="17">
        <f>G62/C62</f>
        <v>0.01173913043478261</v>
      </c>
      <c r="J62" s="2"/>
      <c r="K62" s="2"/>
      <c r="L62" s="2"/>
    </row>
    <row r="63" spans="1:12" ht="12">
      <c r="A63" s="22" t="str">
        <f>CONCATENATE('Company Info'!$A$94-3," ...................")</f>
        <v>1998 ...................</v>
      </c>
      <c r="B63" s="3">
        <f>'Company Info'!$A$7</f>
        <v>43.219</v>
      </c>
      <c r="C63" s="3">
        <f>'Company Info'!$A$17</f>
        <v>20.093</v>
      </c>
      <c r="D63" s="3">
        <f>'Company Info'!$A$77</f>
        <v>0.99</v>
      </c>
      <c r="E63" s="16">
        <f>B63/D63</f>
        <v>43.65555555555556</v>
      </c>
      <c r="F63" s="16">
        <f>C63/D63</f>
        <v>20.295959595959594</v>
      </c>
      <c r="G63" s="3">
        <f>'Company Info'!$A$87</f>
        <v>0.155</v>
      </c>
      <c r="H63" s="17">
        <f>G63/D63</f>
        <v>0.15656565656565657</v>
      </c>
      <c r="I63" s="17">
        <f>G63/C63</f>
        <v>0.007714129298760763</v>
      </c>
      <c r="J63" s="2"/>
      <c r="K63" s="2"/>
      <c r="L63" s="2"/>
    </row>
    <row r="64" spans="1:12" ht="12">
      <c r="A64" s="22" t="str">
        <f>CONCATENATE('Company Info'!$A$94-2," ...................")</f>
        <v>1999 ...................</v>
      </c>
      <c r="B64" s="3">
        <f>'Company Info'!$A$8</f>
        <v>70.25</v>
      </c>
      <c r="C64" s="3">
        <f>'Company Info'!$A$18</f>
        <v>38.875</v>
      </c>
      <c r="D64" s="3">
        <f>'Company Info'!$A$78</f>
        <v>1.28</v>
      </c>
      <c r="E64" s="16">
        <f>B64/D64</f>
        <v>54.8828125</v>
      </c>
      <c r="F64" s="16">
        <f>C64/D64</f>
        <v>30.37109375</v>
      </c>
      <c r="G64" s="3">
        <f>'Company Info'!$A$88</f>
        <v>0.2</v>
      </c>
      <c r="H64" s="17">
        <f>G64/D64</f>
        <v>0.15625</v>
      </c>
      <c r="I64" s="17">
        <f>G64/C64</f>
        <v>0.005144694533762058</v>
      </c>
      <c r="J64" s="2"/>
      <c r="K64" s="2"/>
      <c r="L64" s="2"/>
    </row>
    <row r="65" spans="1:12" ht="12">
      <c r="A65" s="22" t="str">
        <f>CONCATENATE('Company Info'!$A$94-1," ...................")</f>
        <v>2000 ...................</v>
      </c>
      <c r="B65" s="3">
        <f>'Company Info'!$A$9</f>
        <v>64.938</v>
      </c>
      <c r="C65" s="3">
        <f>'Company Info'!$A$19</f>
        <v>41.438</v>
      </c>
      <c r="D65" s="3">
        <f>'Company Info'!$A$79</f>
        <v>1.4</v>
      </c>
      <c r="E65" s="16">
        <f>B65/D65</f>
        <v>46.38428571428572</v>
      </c>
      <c r="F65" s="16">
        <f>C65/D65</f>
        <v>29.598571428571432</v>
      </c>
      <c r="G65" s="3">
        <f>'Company Info'!$A$89</f>
        <v>0.24</v>
      </c>
      <c r="H65" s="17">
        <f>G65/D65</f>
        <v>0.17142857142857143</v>
      </c>
      <c r="I65" s="17">
        <f>G65/C65</f>
        <v>0.005791785317824219</v>
      </c>
      <c r="J65" s="2"/>
      <c r="K65" s="2"/>
      <c r="L65" s="2"/>
    </row>
    <row r="66" spans="1:12" ht="12">
      <c r="A66" s="22" t="str">
        <f>CONCATENATE('Company Info'!$A$94," ...................")</f>
        <v>2001 ...................</v>
      </c>
      <c r="B66" s="3">
        <f>'Company Info'!$A$10</f>
        <v>59.98</v>
      </c>
      <c r="C66" s="3">
        <f>'Company Info'!$A$20</f>
        <v>41.5</v>
      </c>
      <c r="D66" s="3">
        <f>'Company Info'!$A$80</f>
        <v>1.49</v>
      </c>
      <c r="E66" s="16">
        <f>B66/D66</f>
        <v>40.25503355704698</v>
      </c>
      <c r="F66" s="16">
        <f>C66/D66</f>
        <v>27.85234899328859</v>
      </c>
      <c r="G66" s="3">
        <f>'Company Info'!$A$90</f>
        <v>0.28</v>
      </c>
      <c r="H66" s="17">
        <f>G66/D66</f>
        <v>0.18791946308724833</v>
      </c>
      <c r="I66" s="17">
        <f>G66/C66</f>
        <v>0.00674698795180723</v>
      </c>
      <c r="J66" s="2"/>
      <c r="K66" s="2"/>
      <c r="L66" s="2"/>
    </row>
    <row r="67" spans="1:12" ht="12">
      <c r="A67" s="1"/>
      <c r="B67" s="2"/>
      <c r="C67" s="24"/>
      <c r="D67" s="2"/>
      <c r="E67" s="24"/>
      <c r="F67" s="24"/>
      <c r="G67" s="2"/>
      <c r="H67" s="24"/>
      <c r="I67" s="2"/>
      <c r="J67" s="2"/>
      <c r="K67" s="2"/>
      <c r="L67" s="2"/>
    </row>
    <row r="68" spans="1:12" ht="12">
      <c r="A68" s="22" t="s">
        <v>284</v>
      </c>
      <c r="B68" s="23">
        <f>'Company Info'!$A$91</f>
        <v>55</v>
      </c>
      <c r="C68" s="2"/>
      <c r="D68" s="2"/>
      <c r="E68" s="2"/>
      <c r="F68" s="2"/>
      <c r="G68" s="2"/>
      <c r="H68" s="2"/>
      <c r="I68" s="2"/>
      <c r="J68" s="2"/>
      <c r="K68" s="2"/>
      <c r="L68" s="2"/>
    </row>
    <row r="69" spans="1:12" ht="12">
      <c r="A69" s="22" t="s">
        <v>285</v>
      </c>
      <c r="B69" s="23">
        <f>'Company Info'!$A$96</f>
        <v>59.3</v>
      </c>
      <c r="C69" s="2"/>
      <c r="D69" s="2"/>
      <c r="E69" s="24"/>
      <c r="F69" s="2"/>
      <c r="G69" s="2"/>
      <c r="H69" s="2"/>
      <c r="I69" s="2"/>
      <c r="J69" s="2"/>
      <c r="K69" s="2"/>
      <c r="L69" s="2"/>
    </row>
    <row r="70" spans="1:12" ht="12">
      <c r="A70" s="22" t="s">
        <v>286</v>
      </c>
      <c r="B70" s="23">
        <f>'Company Info'!$A$97</f>
        <v>43.72</v>
      </c>
      <c r="C70" s="2"/>
      <c r="D70" s="2"/>
      <c r="E70" s="2"/>
      <c r="F70" s="2"/>
      <c r="G70" s="2"/>
      <c r="H70" s="2"/>
      <c r="I70" s="2"/>
      <c r="J70" s="2"/>
      <c r="K70" s="2"/>
      <c r="L70" s="2"/>
    </row>
    <row r="71" spans="1:12" ht="12">
      <c r="A71" s="1" t="s">
        <v>287</v>
      </c>
      <c r="B71" s="25">
        <f>AVERAGE(C62:C66)</f>
        <v>30.6812</v>
      </c>
      <c r="C71" s="3"/>
      <c r="D71" s="2"/>
      <c r="E71" s="3"/>
      <c r="F71" s="3"/>
      <c r="G71" s="2"/>
      <c r="H71" s="17"/>
      <c r="I71" s="2"/>
      <c r="J71" s="2"/>
      <c r="K71" s="2"/>
      <c r="L71" s="2"/>
    </row>
    <row r="72" spans="1:12" ht="12">
      <c r="A72" s="22" t="s">
        <v>288</v>
      </c>
      <c r="B72" s="16">
        <f>AVERAGE(E62:E66)</f>
        <v>42.41194772178791</v>
      </c>
      <c r="C72" s="3"/>
      <c r="D72" s="2"/>
      <c r="E72" s="3"/>
      <c r="F72" s="3"/>
      <c r="G72" s="2"/>
      <c r="H72" s="17"/>
      <c r="I72" s="2"/>
      <c r="J72" s="2"/>
      <c r="K72" s="2"/>
      <c r="L72" s="2"/>
    </row>
    <row r="73" spans="1:12" ht="12">
      <c r="A73" s="22" t="s">
        <v>289</v>
      </c>
      <c r="B73" s="16">
        <f>AVERAGE(F62:F66)</f>
        <v>24.57231270228187</v>
      </c>
      <c r="C73" s="3"/>
      <c r="D73" s="2"/>
      <c r="E73" s="3"/>
      <c r="F73" s="3"/>
      <c r="G73" s="2"/>
      <c r="H73" s="17"/>
      <c r="I73" s="2"/>
      <c r="J73" s="2"/>
      <c r="K73" s="2"/>
      <c r="L73" s="2"/>
    </row>
    <row r="74" spans="1:12" ht="12">
      <c r="A74" s="22" t="s">
        <v>290</v>
      </c>
      <c r="B74" s="16">
        <f>AVERAGE(B72,B73)</f>
        <v>33.492130212034894</v>
      </c>
      <c r="C74" s="24"/>
      <c r="D74" s="24"/>
      <c r="E74" s="2"/>
      <c r="F74" s="24"/>
      <c r="G74" s="24"/>
      <c r="H74" s="2"/>
      <c r="I74" s="2"/>
      <c r="J74" s="2"/>
      <c r="K74" s="2"/>
      <c r="L74" s="2"/>
    </row>
    <row r="75" spans="1:12" ht="12">
      <c r="A75" s="22" t="s">
        <v>291</v>
      </c>
      <c r="B75" s="16">
        <f>'Company Info'!$A$92</f>
        <v>30.387</v>
      </c>
      <c r="C75" s="2"/>
      <c r="D75" s="2"/>
      <c r="E75" s="2"/>
      <c r="F75" s="2"/>
      <c r="G75" s="2"/>
      <c r="H75" s="2"/>
      <c r="I75" s="2"/>
      <c r="J75" s="2"/>
      <c r="K75" s="2"/>
      <c r="L75" s="2"/>
    </row>
    <row r="76" spans="1:12" ht="12">
      <c r="A76" s="22" t="s">
        <v>292</v>
      </c>
      <c r="B76" s="17">
        <f>AVERAGE(H62:H66)</f>
        <v>0.1690481228316799</v>
      </c>
      <c r="C76" s="2"/>
      <c r="D76" s="2"/>
      <c r="E76" s="2"/>
      <c r="F76" s="2"/>
      <c r="G76" s="2"/>
      <c r="H76" s="2"/>
      <c r="I76" s="2"/>
      <c r="J76" s="2"/>
      <c r="K76" s="2"/>
      <c r="L76" s="2"/>
    </row>
    <row r="77" spans="1:12" ht="12">
      <c r="A77" s="22"/>
      <c r="B77" s="16"/>
      <c r="C77" s="2"/>
      <c r="D77" s="2"/>
      <c r="E77" s="2"/>
      <c r="F77" s="2"/>
      <c r="G77" s="2"/>
      <c r="H77" s="2"/>
      <c r="I77" s="2"/>
      <c r="J77" s="2"/>
      <c r="K77" s="2"/>
      <c r="L77" s="2"/>
    </row>
    <row r="78" spans="1:12" ht="12">
      <c r="A78" s="1" t="s">
        <v>223</v>
      </c>
      <c r="B78" s="2"/>
      <c r="C78" s="2"/>
      <c r="D78" s="2"/>
      <c r="E78" s="2"/>
      <c r="F78" s="2"/>
      <c r="G78" s="2"/>
      <c r="H78" s="2"/>
      <c r="I78" s="2"/>
      <c r="J78" s="2"/>
      <c r="K78" s="2"/>
      <c r="L78" s="2"/>
    </row>
    <row r="79" spans="1:12" ht="12">
      <c r="A79" s="1"/>
      <c r="B79" s="2"/>
      <c r="C79" s="2"/>
      <c r="D79" s="2"/>
      <c r="E79" s="2"/>
      <c r="F79" s="2"/>
      <c r="G79" s="2"/>
      <c r="H79" s="2"/>
      <c r="I79" s="2"/>
      <c r="J79" s="2"/>
      <c r="K79" s="2"/>
      <c r="L79" s="2"/>
    </row>
    <row r="80" spans="1:12" ht="12">
      <c r="A80" s="1" t="s">
        <v>293</v>
      </c>
      <c r="B80" s="2"/>
      <c r="C80" s="2"/>
      <c r="D80" s="2"/>
      <c r="E80" s="2"/>
      <c r="F80" s="2"/>
      <c r="G80" s="2"/>
      <c r="H80" s="2"/>
      <c r="I80" s="23"/>
      <c r="J80" s="2"/>
      <c r="K80" s="2"/>
      <c r="L80" s="2"/>
    </row>
    <row r="81" spans="1:12" ht="12">
      <c r="A81" s="1" t="s">
        <v>294</v>
      </c>
      <c r="B81" s="16">
        <f>IF(('Company Info'!$A$111)&lt;=0,B72,('Company Info'!$A$111))</f>
        <v>42.41194772178791</v>
      </c>
      <c r="C81" s="2" t="s">
        <v>224</v>
      </c>
      <c r="D81" s="3">
        <f>IF(('Company Info'!$A$150)&lt;=0,'Company Info'!$A$109,('Company Info'!$A$150))</f>
        <v>3.435</v>
      </c>
      <c r="E81" s="2" t="s">
        <v>295</v>
      </c>
      <c r="F81" s="9">
        <f>IF(('Company Info'!$A$151)&lt;=0,(B81*D81),('Company Info'!$A$151))</f>
        <v>145.68504042434148</v>
      </c>
      <c r="G81" s="2"/>
      <c r="H81" s="24"/>
      <c r="I81" s="2"/>
      <c r="J81" s="2"/>
      <c r="K81" s="2"/>
      <c r="L81" s="2"/>
    </row>
    <row r="82" spans="1:12" ht="12">
      <c r="A82" s="1"/>
      <c r="B82" s="2"/>
      <c r="C82" s="2"/>
      <c r="D82" s="24"/>
      <c r="E82" s="2"/>
      <c r="F82" s="2"/>
      <c r="G82" s="2"/>
      <c r="H82" s="2"/>
      <c r="I82" s="2"/>
      <c r="J82" s="2"/>
      <c r="K82" s="2"/>
      <c r="L82" s="2"/>
    </row>
    <row r="83" spans="1:12" ht="12">
      <c r="A83" s="1" t="s">
        <v>296</v>
      </c>
      <c r="B83" s="2"/>
      <c r="C83" s="2"/>
      <c r="D83" s="2"/>
      <c r="E83" s="2"/>
      <c r="F83" s="2"/>
      <c r="G83" s="2"/>
      <c r="H83" s="2"/>
      <c r="I83" s="2"/>
      <c r="J83" s="2"/>
      <c r="K83" s="2"/>
      <c r="L83" s="2"/>
    </row>
    <row r="84" spans="1:12" ht="12">
      <c r="A84" s="1" t="s">
        <v>297</v>
      </c>
      <c r="B84" s="16">
        <f>IF(('Company Info'!$A$112)&lt;=0,B73,('Company Info'!$A$112))</f>
        <v>24.57231270228187</v>
      </c>
      <c r="C84" s="2" t="s">
        <v>225</v>
      </c>
      <c r="D84" s="3">
        <f>IF(('Company Info'!$A$124)&lt;=0,'Company Info'!$A$80,('Company Info'!$A$124))</f>
        <v>1.49</v>
      </c>
      <c r="E84" s="2" t="s">
        <v>295</v>
      </c>
      <c r="F84" s="9">
        <f>B84*D84</f>
        <v>36.61274592639999</v>
      </c>
      <c r="G84" s="2"/>
      <c r="H84" s="24"/>
      <c r="I84" s="2"/>
      <c r="J84" s="2"/>
      <c r="K84" s="2"/>
      <c r="L84" s="2"/>
    </row>
    <row r="85" spans="1:12" ht="12">
      <c r="A85" s="1" t="s">
        <v>298</v>
      </c>
      <c r="B85" s="9">
        <f>AVERAGE(C62:C66)</f>
        <v>30.6812</v>
      </c>
      <c r="C85" s="2"/>
      <c r="D85" s="26"/>
      <c r="E85" s="2"/>
      <c r="F85" s="2"/>
      <c r="G85" s="2"/>
      <c r="H85" s="2"/>
      <c r="I85" s="2"/>
      <c r="J85" s="2"/>
      <c r="K85" s="2"/>
      <c r="L85" s="2"/>
    </row>
    <row r="86" spans="1:12" ht="12">
      <c r="A86" s="1" t="s">
        <v>299</v>
      </c>
      <c r="B86" s="27">
        <f>IF(('Company Info'!$A$199)&lt;=0,SMALL(C64:C66,1),('Company Info'!$A$199))</f>
        <v>38.875</v>
      </c>
      <c r="C86" s="2"/>
      <c r="D86" s="26"/>
      <c r="E86" s="2"/>
      <c r="F86" s="2"/>
      <c r="G86" s="2"/>
      <c r="H86" s="2"/>
      <c r="I86" s="2"/>
      <c r="J86" s="2"/>
      <c r="K86" s="2"/>
      <c r="L86" s="2"/>
    </row>
    <row r="87" spans="1:12" ht="12">
      <c r="A87" s="1" t="s">
        <v>300</v>
      </c>
      <c r="B87" s="27">
        <f>IF(('Company Info'!$A$93)&lt;=0,(SUM('Company Info'!$A$222:$A$225)/(LARGE(I62:I66,1))),('Company Info'!$A$93)/(LARGE(I62:I66,1)))</f>
        <v>30.666666666666664</v>
      </c>
      <c r="C87" s="2"/>
      <c r="D87" s="26"/>
      <c r="E87" s="2"/>
      <c r="F87" s="2"/>
      <c r="G87" s="2"/>
      <c r="H87" s="2"/>
      <c r="I87" s="2"/>
      <c r="J87" s="2"/>
      <c r="K87" s="2"/>
      <c r="L87" s="2"/>
    </row>
    <row r="88" spans="1:12" ht="12">
      <c r="A88" s="1"/>
      <c r="B88" s="28"/>
      <c r="C88" s="2"/>
      <c r="D88" s="2"/>
      <c r="E88" s="2"/>
      <c r="F88" s="2"/>
      <c r="G88" s="2"/>
      <c r="H88" s="2"/>
      <c r="I88" s="2"/>
      <c r="J88" s="2"/>
      <c r="K88" s="2"/>
      <c r="L88" s="2"/>
    </row>
    <row r="89" spans="1:12" ht="12">
      <c r="A89" s="22" t="s">
        <v>301</v>
      </c>
      <c r="B89" s="9">
        <f>IF(('Company Info'!$A$145)&lt;=0,F84,('Company Info'!$A$145))</f>
        <v>36.61274592639999</v>
      </c>
      <c r="C89" s="2"/>
      <c r="D89" s="2"/>
      <c r="E89" s="2"/>
      <c r="F89" s="2"/>
      <c r="G89" s="2"/>
      <c r="H89" s="13"/>
      <c r="I89" s="2"/>
      <c r="J89" s="2"/>
      <c r="K89" s="2"/>
      <c r="L89" s="2"/>
    </row>
    <row r="90" spans="1:12" ht="12">
      <c r="A90" s="1"/>
      <c r="B90" s="23"/>
      <c r="C90" s="2"/>
      <c r="D90" s="2"/>
      <c r="E90" s="2"/>
      <c r="F90" s="2"/>
      <c r="G90" s="2"/>
      <c r="H90" s="2"/>
      <c r="I90" s="2"/>
      <c r="J90" s="2"/>
      <c r="K90" s="2"/>
      <c r="L90" s="2"/>
    </row>
    <row r="91" spans="1:12" ht="12">
      <c r="A91" s="1" t="s">
        <v>226</v>
      </c>
      <c r="B91" s="2"/>
      <c r="C91" s="2"/>
      <c r="D91" s="2"/>
      <c r="E91" s="2"/>
      <c r="F91" s="2"/>
      <c r="G91" s="2"/>
      <c r="H91" s="2"/>
      <c r="I91" s="2"/>
      <c r="J91" s="2"/>
      <c r="K91" s="2"/>
      <c r="L91" s="2"/>
    </row>
    <row r="92" spans="1:12" ht="12">
      <c r="A92" s="1" t="s">
        <v>302</v>
      </c>
      <c r="B92" s="9">
        <f>B89</f>
        <v>36.61274592639999</v>
      </c>
      <c r="C92" s="29" t="s">
        <v>227</v>
      </c>
      <c r="D92" s="9">
        <f>ROUND(($F$81-$B$89)/3+B92,1)</f>
        <v>73</v>
      </c>
      <c r="E92" s="2"/>
      <c r="F92" s="2"/>
      <c r="G92" s="2"/>
      <c r="H92" s="2"/>
      <c r="I92" s="2"/>
      <c r="J92" s="2"/>
      <c r="K92" s="2"/>
      <c r="L92" s="2"/>
    </row>
    <row r="93" spans="1:12" ht="12">
      <c r="A93" s="1" t="s">
        <v>303</v>
      </c>
      <c r="B93" s="7">
        <f>D92</f>
        <v>73</v>
      </c>
      <c r="C93" s="29" t="s">
        <v>227</v>
      </c>
      <c r="D93" s="9">
        <f>ROUND(($F$81-$B$89)/3+B93,1)</f>
        <v>109.4</v>
      </c>
      <c r="E93" s="2"/>
      <c r="F93" s="2"/>
      <c r="G93" s="2"/>
      <c r="H93" s="2"/>
      <c r="I93" s="2"/>
      <c r="J93" s="2"/>
      <c r="K93" s="2"/>
      <c r="L93" s="2"/>
    </row>
    <row r="94" spans="1:12" ht="12">
      <c r="A94" s="1" t="s">
        <v>304</v>
      </c>
      <c r="B94" s="9">
        <f>D93</f>
        <v>109.4</v>
      </c>
      <c r="C94" s="29" t="s">
        <v>227</v>
      </c>
      <c r="D94" s="9">
        <f>F81</f>
        <v>145.68504042434148</v>
      </c>
      <c r="E94" s="2"/>
      <c r="F94" s="2"/>
      <c r="G94" s="2"/>
      <c r="H94" s="2"/>
      <c r="I94" s="2"/>
      <c r="J94" s="2"/>
      <c r="K94" s="2"/>
      <c r="L94" s="2"/>
    </row>
    <row r="95" spans="1:12" ht="12">
      <c r="A95" s="1" t="s">
        <v>228</v>
      </c>
      <c r="B95" s="7">
        <f>'Company Info'!$A$91</f>
        <v>55</v>
      </c>
      <c r="C95" s="30" t="str">
        <f>IF(B95&lt;=D92," is in the BUY zone",IF(B95&gt;B94,"is in the SELL zone","is in the HOLD zone"))</f>
        <v> is in the BUY zone</v>
      </c>
      <c r="D95" s="2"/>
      <c r="E95" s="2"/>
      <c r="F95" s="2"/>
      <c r="G95" s="2"/>
      <c r="H95" s="2"/>
      <c r="I95" s="2"/>
      <c r="J95" s="2"/>
      <c r="K95" s="2"/>
      <c r="L95" s="2"/>
    </row>
    <row r="96" spans="1:12" ht="12">
      <c r="A96" s="1"/>
      <c r="B96" s="2"/>
      <c r="C96" s="2"/>
      <c r="D96" s="2"/>
      <c r="E96" s="2"/>
      <c r="F96" s="2"/>
      <c r="G96" s="2"/>
      <c r="H96" s="2"/>
      <c r="I96" s="2"/>
      <c r="J96" s="2"/>
      <c r="K96" s="2"/>
      <c r="L96" s="2"/>
    </row>
    <row r="97" spans="1:12" ht="12">
      <c r="A97" s="1" t="s">
        <v>229</v>
      </c>
      <c r="B97" s="16">
        <f>IF(('Company Info'!$A$133)&lt;=0,((F81-B95)/(B95-B89)),('Company Info'!$A$133))</f>
        <v>4.931951234336014</v>
      </c>
      <c r="C97" s="2" t="s">
        <v>230</v>
      </c>
      <c r="D97" s="2"/>
      <c r="E97" s="2"/>
      <c r="F97" s="2"/>
      <c r="G97" s="13"/>
      <c r="H97" s="13"/>
      <c r="I97" s="2"/>
      <c r="J97" s="2"/>
      <c r="K97" s="2"/>
      <c r="L97" s="2"/>
    </row>
    <row r="98" spans="1:12" ht="12">
      <c r="A98" s="1"/>
      <c r="B98" s="31"/>
      <c r="C98" s="2"/>
      <c r="D98" s="2"/>
      <c r="E98" s="25"/>
      <c r="F98" s="2"/>
      <c r="G98" s="2"/>
      <c r="H98" s="2"/>
      <c r="I98" s="2"/>
      <c r="J98" s="2"/>
      <c r="K98" s="2"/>
      <c r="L98" s="2"/>
    </row>
    <row r="99" spans="1:12" ht="12">
      <c r="A99" s="1" t="s">
        <v>231</v>
      </c>
      <c r="B99" s="21">
        <f>(((F81/B95)*100)-100)/100</f>
        <v>1.6488189168062086</v>
      </c>
      <c r="C99" s="2"/>
      <c r="D99" s="2"/>
      <c r="E99" s="2"/>
      <c r="F99" s="2"/>
      <c r="G99" s="13"/>
      <c r="H99" s="2"/>
      <c r="I99" s="2"/>
      <c r="J99" s="2"/>
      <c r="K99" s="2"/>
      <c r="L99" s="2"/>
    </row>
    <row r="100" spans="1:12" ht="12">
      <c r="A100" s="1"/>
      <c r="B100" s="31"/>
      <c r="C100" s="2"/>
      <c r="D100" s="2"/>
      <c r="E100" s="25"/>
      <c r="F100" s="2"/>
      <c r="G100" s="2"/>
      <c r="H100" s="2"/>
      <c r="I100" s="2"/>
      <c r="J100" s="2"/>
      <c r="K100" s="2"/>
      <c r="L100" s="2"/>
    </row>
    <row r="101" ht="12">
      <c r="A101" s="1" t="s">
        <v>232</v>
      </c>
    </row>
    <row r="103" spans="1:2" ht="12">
      <c r="A103" s="1" t="s">
        <v>305</v>
      </c>
      <c r="B103" s="21">
        <f>IF(('Company Info'!$A$129)&lt;=0,(('Company Info'!$A$90)/('Company Info'!$A$91)),(('Company Info'!$A$129)/100))</f>
        <v>0.005090909090909091</v>
      </c>
    </row>
    <row r="104" spans="1:2" ht="12">
      <c r="A104" s="1" t="s">
        <v>306</v>
      </c>
      <c r="B104" s="14" t="str">
        <f>IF(('Company Info'!$A$130&lt;=0)," n/a ",'Company Info'!$A$130/100)</f>
        <v> n/a </v>
      </c>
    </row>
    <row r="105" spans="1:2" ht="12">
      <c r="A105" s="1" t="s">
        <v>307</v>
      </c>
      <c r="B105" s="14" t="str">
        <f>IF(('Company Info'!$A$197&lt;=0)," n/a ",'Company Info'!$A$197)</f>
        <v> n/a </v>
      </c>
    </row>
    <row r="106" spans="1:2" ht="12">
      <c r="A106" s="33" t="s">
        <v>308</v>
      </c>
      <c r="B106" s="34">
        <f>B75/B74</f>
        <v>0.9072877660400618</v>
      </c>
    </row>
  </sheetData>
  <printOptions/>
  <pageMargins left="0.75" right="0.75" top="1" bottom="1" header="0.5" footer="0.5"/>
  <pageSetup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AI36"/>
  <sheetViews>
    <sheetView showGridLines="0" workbookViewId="0" topLeftCell="A1">
      <selection activeCell="C17" sqref="C17"/>
    </sheetView>
  </sheetViews>
  <sheetFormatPr defaultColWidth="9.00390625" defaultRowHeight="12.75"/>
  <cols>
    <col min="1" max="1" width="8.375" style="45" customWidth="1"/>
    <col min="2" max="2" width="9.25390625" style="45" customWidth="1"/>
    <col min="3" max="3" width="10.00390625" style="45" customWidth="1"/>
    <col min="4" max="4" width="11.25390625" style="45" customWidth="1"/>
    <col min="5" max="5" width="10.75390625" style="42" customWidth="1"/>
    <col min="6" max="6" width="11.125" style="42" customWidth="1"/>
    <col min="7" max="7" width="10.75390625" style="42" customWidth="1"/>
    <col min="8" max="8" width="6.125" style="45" customWidth="1"/>
    <col min="9" max="9" width="7.125" style="45" customWidth="1"/>
    <col min="10" max="10" width="0" style="42" hidden="1" customWidth="1"/>
    <col min="11" max="18" width="8.875" style="42" customWidth="1"/>
    <col min="19" max="19" width="8.875" style="207" customWidth="1"/>
    <col min="20" max="20" width="8.875" style="42" customWidth="1"/>
    <col min="21" max="21" width="5.875" style="220" customWidth="1"/>
    <col min="22" max="22" width="6.25390625" style="220" bestFit="1" customWidth="1"/>
    <col min="23" max="23" width="5.00390625" style="220" customWidth="1"/>
    <col min="24" max="24" width="8.25390625" style="220" bestFit="1" customWidth="1"/>
    <col min="25" max="25" width="8.75390625" style="220" bestFit="1" customWidth="1"/>
    <col min="26" max="26" width="6.375" style="220" bestFit="1" customWidth="1"/>
    <col min="27" max="27" width="4.375" style="220" bestFit="1" customWidth="1"/>
    <col min="28" max="29" width="7.25390625" style="220" bestFit="1" customWidth="1"/>
    <col min="30" max="31" width="8.125" style="220" bestFit="1" customWidth="1"/>
    <col min="32" max="32" width="7.625" style="220" bestFit="1" customWidth="1"/>
    <col min="33" max="33" width="7.125" style="220" bestFit="1" customWidth="1"/>
    <col min="34" max="34" width="6.75390625" style="220" bestFit="1" customWidth="1"/>
    <col min="35" max="35" width="6.375" style="220" bestFit="1" customWidth="1"/>
    <col min="36" max="16384" width="8.875" style="42" customWidth="1"/>
  </cols>
  <sheetData>
    <row r="1" spans="1:35" ht="25.5">
      <c r="A1" s="37"/>
      <c r="B1" s="208" t="s">
        <v>135</v>
      </c>
      <c r="C1" s="209" t="s">
        <v>209</v>
      </c>
      <c r="D1" s="213" t="s">
        <v>217</v>
      </c>
      <c r="E1" s="210" t="s">
        <v>314</v>
      </c>
      <c r="F1" s="211" t="s">
        <v>309</v>
      </c>
      <c r="G1" s="212" t="s">
        <v>310</v>
      </c>
      <c r="H1" s="37"/>
      <c r="I1" s="37"/>
      <c r="U1" s="291" t="s">
        <v>214</v>
      </c>
      <c r="V1" s="292" t="s">
        <v>82</v>
      </c>
      <c r="W1" s="291" t="s">
        <v>135</v>
      </c>
      <c r="X1" s="296" t="s">
        <v>83</v>
      </c>
      <c r="Y1" s="291" t="s">
        <v>209</v>
      </c>
      <c r="Z1" s="292" t="s">
        <v>84</v>
      </c>
      <c r="AA1" s="291" t="s">
        <v>217</v>
      </c>
      <c r="AB1" s="292" t="s">
        <v>85</v>
      </c>
      <c r="AC1" s="293" t="s">
        <v>314</v>
      </c>
      <c r="AD1" s="292" t="s">
        <v>86</v>
      </c>
      <c r="AE1" s="291" t="s">
        <v>309</v>
      </c>
      <c r="AF1" s="292" t="s">
        <v>87</v>
      </c>
      <c r="AG1" s="291" t="s">
        <v>310</v>
      </c>
      <c r="AH1" s="291" t="s">
        <v>131</v>
      </c>
      <c r="AI1" s="291" t="s">
        <v>133</v>
      </c>
    </row>
    <row r="2" spans="1:35" s="49" customFormat="1" ht="16.5" customHeight="1">
      <c r="A2" s="50"/>
      <c r="B2" s="203">
        <v>5</v>
      </c>
      <c r="C2" s="203">
        <v>5</v>
      </c>
      <c r="D2" s="203">
        <v>8</v>
      </c>
      <c r="E2" s="203">
        <v>7</v>
      </c>
      <c r="F2" s="203">
        <v>5</v>
      </c>
      <c r="G2" s="203">
        <v>5</v>
      </c>
      <c r="H2" s="50" t="s">
        <v>125</v>
      </c>
      <c r="S2" s="215" t="s">
        <v>80</v>
      </c>
      <c r="U2" s="291"/>
      <c r="V2" s="292"/>
      <c r="W2" s="291"/>
      <c r="X2" s="296"/>
      <c r="Y2" s="291"/>
      <c r="Z2" s="292"/>
      <c r="AA2" s="291"/>
      <c r="AB2" s="292"/>
      <c r="AC2" s="293"/>
      <c r="AD2" s="292"/>
      <c r="AE2" s="291"/>
      <c r="AF2" s="292"/>
      <c r="AG2" s="291"/>
      <c r="AH2" s="291"/>
      <c r="AI2" s="291"/>
    </row>
    <row r="3" spans="1:35" ht="16.5" customHeight="1">
      <c r="A3" s="50"/>
      <c r="B3" s="271"/>
      <c r="C3" s="271"/>
      <c r="D3" s="271"/>
      <c r="E3" s="271"/>
      <c r="F3" s="271"/>
      <c r="G3" s="271"/>
      <c r="H3" s="271"/>
      <c r="I3" s="271"/>
      <c r="J3" s="271"/>
      <c r="K3" s="271"/>
      <c r="L3" s="271"/>
      <c r="S3" s="38">
        <v>1E-05</v>
      </c>
      <c r="U3" s="216">
        <f>'Company Info'!$A$94-9</f>
        <v>1992</v>
      </c>
      <c r="V3" s="217">
        <f>IF('Company Info'!A21&gt;0,'Company Info'!A21,NA())</f>
        <v>55483.771</v>
      </c>
      <c r="W3" s="262">
        <f>IF(ISNA(V3),V3,INDEX($S$3:$S$12,$B$2)*V3)</f>
        <v>5548.377100000001</v>
      </c>
      <c r="X3" s="217">
        <f>IF('Company Info'!A41&gt;0,'Company Info'!A41,NA())</f>
        <v>3166.339</v>
      </c>
      <c r="Y3" s="262">
        <f>IF(ISNA(X3),X3,INDEX($S$3:$S$12,$C$2)*X3)</f>
        <v>316.63390000000004</v>
      </c>
      <c r="Z3" s="219">
        <f>IF('Company Info'!A71&gt;0,'Company Info'!A71,NA())</f>
        <v>0.435</v>
      </c>
      <c r="AA3" s="262">
        <f>IF(ISNA(Z3),Z3,INDEX($S$3:$S$12,$D$2)*Z3)</f>
        <v>43.5</v>
      </c>
      <c r="AB3" s="219">
        <f>IF('Company Info'!A185&gt;0,'Company Info'!A185,NA())</f>
        <v>0.57</v>
      </c>
      <c r="AC3" s="262">
        <f>IF(ISNA(AB3),AB3,INDEX($S$3:$S$12,$E$2)*AB3)</f>
        <v>5.699999999999999</v>
      </c>
      <c r="AD3" s="219">
        <f>IF('Company Info'!A175&gt;0,'Company Info'!A175,NA())</f>
        <v>4599.276</v>
      </c>
      <c r="AE3" s="262">
        <f>IF(ISNA(AD3),AD3,INDEX($S$3:$S$12,$F$2)*AD3)</f>
        <v>459.9276</v>
      </c>
      <c r="AF3" s="219">
        <f>IF('Company Info'!A165&gt;0,'Company Info'!A165,NA())</f>
        <v>4844.987</v>
      </c>
      <c r="AG3" s="262">
        <f>IF(ISNA(AF3),AF3,INDEX($S$3:$S$12,$G$2)*AF3)</f>
        <v>484.49870000000004</v>
      </c>
      <c r="AH3" s="218">
        <f>IF('Company Info'!A1&gt;0,'Company Info'!A1,NA())</f>
        <v>16.469</v>
      </c>
      <c r="AI3" s="218">
        <f>IF('Company Info'!A11&gt;0,'Company Info'!A11,NA())</f>
        <v>12.531</v>
      </c>
    </row>
    <row r="4" spans="1:35" ht="16.5" customHeight="1">
      <c r="A4" s="271"/>
      <c r="B4" s="204" t="s">
        <v>1</v>
      </c>
      <c r="C4" s="46"/>
      <c r="D4" s="46"/>
      <c r="E4" s="46"/>
      <c r="F4" s="46"/>
      <c r="G4" s="46"/>
      <c r="H4" s="46"/>
      <c r="I4" s="271"/>
      <c r="J4" s="271"/>
      <c r="K4" s="271"/>
      <c r="L4" s="271"/>
      <c r="S4" s="47">
        <v>0.0001</v>
      </c>
      <c r="U4" s="216">
        <f>'Company Info'!$A$94-8</f>
        <v>1993</v>
      </c>
      <c r="V4" s="217">
        <f>IF('Company Info'!A22&gt;0,'Company Info'!A22,NA())</f>
        <v>67344.574</v>
      </c>
      <c r="W4" s="262">
        <f aca="true" t="shared" si="0" ref="W4:W12">IF(ISNA(V4),V4,INDEX($S$3:$S$12,$B$2)*V4)</f>
        <v>6734.457399999999</v>
      </c>
      <c r="X4" s="217">
        <f>IF('Company Info'!A42&gt;0,'Company Info'!A42,NA())</f>
        <v>3691.578</v>
      </c>
      <c r="Y4" s="262">
        <f aca="true" t="shared" si="1" ref="Y4:Y12">IF(ISNA(X4),X4,INDEX($S$3:$S$12,$C$2)*X4)</f>
        <v>369.1578</v>
      </c>
      <c r="Z4" s="219">
        <f>IF('Company Info'!A72&gt;0,'Company Info'!A72,NA())</f>
        <v>0.51</v>
      </c>
      <c r="AA4" s="262">
        <f aca="true" t="shared" si="2" ref="AA4:AA12">IF(ISNA(Z4),Z4,INDEX($S$3:$S$12,$D$2)*Z4)</f>
        <v>51</v>
      </c>
      <c r="AB4" s="219">
        <f>IF('Company Info'!A186&gt;0,'Company Info'!A186,NA())</f>
        <v>0.686</v>
      </c>
      <c r="AC4" s="262">
        <f aca="true" t="shared" si="3" ref="AC4:AC12">IF(ISNA(AB4),AB4,INDEX($S$3:$S$12,$E$2)*AB4)</f>
        <v>6.86</v>
      </c>
      <c r="AD4" s="219">
        <f>IF('Company Info'!A176&gt;0,'Company Info'!A176,NA())</f>
        <v>4597.538</v>
      </c>
      <c r="AE4" s="262">
        <f aca="true" t="shared" si="4" ref="AE4:AE12">IF(ISNA(AD4),AD4,INDEX($S$3:$S$12,$F$2)*AD4)</f>
        <v>459.75379999999996</v>
      </c>
      <c r="AF4" s="219">
        <f>IF('Company Info'!A166&gt;0,'Company Info'!A166,NA())</f>
        <v>7960.194</v>
      </c>
      <c r="AG4" s="262">
        <f aca="true" t="shared" si="5" ref="AG4:AG12">IF(ISNA(AF4),AF4,INDEX($S$3:$S$12,$G$2)*AF4)</f>
        <v>796.0194000000001</v>
      </c>
      <c r="AH4" s="218">
        <f>IF('Company Info'!A2&gt;0,'Company Info'!A2,NA())</f>
        <v>17.062</v>
      </c>
      <c r="AI4" s="218">
        <f>IF('Company Info'!A12&gt;0,'Company Info'!A12,NA())</f>
        <v>11.5</v>
      </c>
    </row>
    <row r="5" spans="1:35" ht="16.5" customHeight="1">
      <c r="A5" s="271"/>
      <c r="B5" s="294" t="s">
        <v>2</v>
      </c>
      <c r="C5" s="290"/>
      <c r="D5" s="290"/>
      <c r="E5" s="290"/>
      <c r="F5" s="290"/>
      <c r="G5" s="290"/>
      <c r="H5" s="290"/>
      <c r="I5" s="290"/>
      <c r="J5" s="271"/>
      <c r="K5" s="271"/>
      <c r="L5" s="271"/>
      <c r="S5" s="39">
        <v>0.001</v>
      </c>
      <c r="U5" s="216">
        <f>'Company Info'!$A$94-7</f>
        <v>1994</v>
      </c>
      <c r="V5" s="217">
        <f>IF('Company Info'!A23&gt;0,'Company Info'!A23,NA())</f>
        <v>82494</v>
      </c>
      <c r="W5" s="262">
        <f t="shared" si="0"/>
        <v>8249.4</v>
      </c>
      <c r="X5" s="217">
        <f>IF('Company Info'!A43&gt;0,'Company Info'!A43,NA())</f>
        <v>4262</v>
      </c>
      <c r="Y5" s="262">
        <f t="shared" si="1"/>
        <v>426.20000000000005</v>
      </c>
      <c r="Z5" s="219">
        <f>IF('Company Info'!A73&gt;0,'Company Info'!A73,NA())</f>
        <v>0.585</v>
      </c>
      <c r="AA5" s="262">
        <f t="shared" si="2"/>
        <v>58.5</v>
      </c>
      <c r="AB5" s="219">
        <f>IF('Company Info'!A187&gt;0,'Company Info'!A187,NA())</f>
        <v>0.816</v>
      </c>
      <c r="AC5" s="262">
        <f t="shared" si="3"/>
        <v>8.16</v>
      </c>
      <c r="AD5" s="219">
        <f>IF('Company Info'!A177&gt;0,'Company Info'!A177,NA())</f>
        <v>4594</v>
      </c>
      <c r="AE5" s="262">
        <f t="shared" si="4"/>
        <v>459.40000000000003</v>
      </c>
      <c r="AF5" s="219">
        <f>IF('Company Info'!A167&gt;0,'Company Info'!A167,NA())</f>
        <v>9709</v>
      </c>
      <c r="AG5" s="262">
        <f t="shared" si="5"/>
        <v>970.9000000000001</v>
      </c>
      <c r="AH5" s="218">
        <f>IF('Company Info'!A3&gt;0,'Company Info'!A3,NA())</f>
        <v>14.625</v>
      </c>
      <c r="AI5" s="218">
        <f>IF('Company Info'!A13&gt;0,'Company Info'!A13,NA())</f>
        <v>10.25</v>
      </c>
    </row>
    <row r="6" spans="1:35" ht="16.5" customHeight="1">
      <c r="A6" s="271"/>
      <c r="B6" s="290"/>
      <c r="C6" s="290"/>
      <c r="D6" s="290"/>
      <c r="E6" s="290"/>
      <c r="F6" s="290"/>
      <c r="G6" s="290"/>
      <c r="H6" s="290"/>
      <c r="I6" s="290"/>
      <c r="J6" s="271"/>
      <c r="K6" s="271"/>
      <c r="L6" s="271"/>
      <c r="S6" s="207">
        <v>0.01</v>
      </c>
      <c r="U6" s="216">
        <f>'Company Info'!$A$94-6</f>
        <v>1995</v>
      </c>
      <c r="V6" s="217">
        <f>IF('Company Info'!A24&gt;0,'Company Info'!A24,NA())</f>
        <v>93627</v>
      </c>
      <c r="W6" s="262">
        <f t="shared" si="0"/>
        <v>9362.7</v>
      </c>
      <c r="X6" s="217">
        <f>IF('Company Info'!A44&gt;0,'Company Info'!A44,NA())</f>
        <v>4346</v>
      </c>
      <c r="Y6" s="262">
        <f t="shared" si="1"/>
        <v>434.6</v>
      </c>
      <c r="Z6" s="219">
        <f>IF('Company Info'!A74&gt;0,'Company Info'!A74,NA())</f>
        <v>0.595</v>
      </c>
      <c r="AA6" s="262">
        <f t="shared" si="2"/>
        <v>59.5</v>
      </c>
      <c r="AB6" s="219">
        <f>IF('Company Info'!A188&gt;0,'Company Info'!A188,NA())</f>
        <v>0.882</v>
      </c>
      <c r="AC6" s="262">
        <f t="shared" si="3"/>
        <v>8.82</v>
      </c>
      <c r="AD6" s="219">
        <f>IF('Company Info'!A178&gt;0,'Company Info'!A178,NA())</f>
        <v>4586</v>
      </c>
      <c r="AE6" s="262">
        <f t="shared" si="4"/>
        <v>458.6</v>
      </c>
      <c r="AF6" s="219">
        <f>IF('Company Info'!A168&gt;0,'Company Info'!A168,NA())</f>
        <v>10600</v>
      </c>
      <c r="AG6" s="262">
        <f t="shared" si="5"/>
        <v>1060</v>
      </c>
      <c r="AH6" s="218">
        <f>IF('Company Info'!A4&gt;0,'Company Info'!A4,NA())</f>
        <v>13.812</v>
      </c>
      <c r="AI6" s="218">
        <f>IF('Company Info'!A14&gt;0,'Company Info'!A14,NA())</f>
        <v>9.562</v>
      </c>
    </row>
    <row r="7" spans="1:35" ht="16.5" customHeight="1">
      <c r="A7" s="271"/>
      <c r="B7" s="290"/>
      <c r="C7" s="290"/>
      <c r="D7" s="290"/>
      <c r="E7" s="290"/>
      <c r="F7" s="290"/>
      <c r="G7" s="290"/>
      <c r="H7" s="290"/>
      <c r="I7" s="290"/>
      <c r="J7" s="271"/>
      <c r="K7" s="271"/>
      <c r="L7" s="271"/>
      <c r="S7" s="207">
        <v>0.1</v>
      </c>
      <c r="U7" s="216">
        <f>'Company Info'!$A$94-5</f>
        <v>1996</v>
      </c>
      <c r="V7" s="217">
        <f>IF('Company Info'!A25&gt;0,'Company Info'!A25,NA())</f>
        <v>104859</v>
      </c>
      <c r="W7" s="262">
        <f t="shared" si="0"/>
        <v>10485.900000000001</v>
      </c>
      <c r="X7" s="217">
        <f>IF('Company Info'!A45&gt;0,'Company Info'!A45,NA())</f>
        <v>4850</v>
      </c>
      <c r="Y7" s="262">
        <f t="shared" si="1"/>
        <v>485</v>
      </c>
      <c r="Z7" s="219">
        <f>IF('Company Info'!A75&gt;0,'Company Info'!A75,NA())</f>
        <v>0.665</v>
      </c>
      <c r="AA7" s="262">
        <f t="shared" si="2"/>
        <v>66.5</v>
      </c>
      <c r="AB7" s="219">
        <f>IF('Company Info'!A189&gt;0,'Company Info'!A189,NA())</f>
        <v>0.989</v>
      </c>
      <c r="AC7" s="262">
        <f t="shared" si="3"/>
        <v>9.89</v>
      </c>
      <c r="AD7" s="219">
        <f>IF('Company Info'!A179&gt;0,'Company Info'!A179,NA())</f>
        <v>4570</v>
      </c>
      <c r="AE7" s="262">
        <f t="shared" si="4"/>
        <v>457</v>
      </c>
      <c r="AF7" s="219">
        <f>IF('Company Info'!A169&gt;0,'Company Info'!A169,NA())</f>
        <v>10016</v>
      </c>
      <c r="AG7" s="262">
        <f t="shared" si="5"/>
        <v>1001.6</v>
      </c>
      <c r="AH7" s="218">
        <f>IF('Company Info'!A5&gt;0,'Company Info'!A5,NA())</f>
        <v>14.125</v>
      </c>
      <c r="AI7" s="218">
        <f>IF('Company Info'!A15&gt;0,'Company Info'!A15,NA())</f>
        <v>10.062</v>
      </c>
    </row>
    <row r="8" spans="1:35" ht="16.5" customHeight="1">
      <c r="A8" s="271"/>
      <c r="B8" s="290"/>
      <c r="C8" s="290"/>
      <c r="D8" s="290"/>
      <c r="E8" s="290"/>
      <c r="F8" s="290"/>
      <c r="G8" s="290"/>
      <c r="H8" s="290"/>
      <c r="I8" s="290"/>
      <c r="J8" s="271"/>
      <c r="K8" s="271"/>
      <c r="L8" s="271"/>
      <c r="S8" s="48">
        <v>1</v>
      </c>
      <c r="U8" s="216">
        <f>'Company Info'!$A$94-4</f>
        <v>1997</v>
      </c>
      <c r="V8" s="217">
        <f>IF('Company Info'!A26&gt;0,'Company Info'!A26,NA())</f>
        <v>117958</v>
      </c>
      <c r="W8" s="262">
        <f t="shared" si="0"/>
        <v>11795.800000000001</v>
      </c>
      <c r="X8" s="217">
        <f>IF('Company Info'!A46&gt;0,'Company Info'!A46,NA())</f>
        <v>5641</v>
      </c>
      <c r="Y8" s="262">
        <f t="shared" si="1"/>
        <v>564.1</v>
      </c>
      <c r="Z8" s="219">
        <f>IF('Company Info'!A76&gt;0,'Company Info'!A76,NA())</f>
        <v>0.78</v>
      </c>
      <c r="AA8" s="262">
        <f t="shared" si="2"/>
        <v>78</v>
      </c>
      <c r="AB8" s="219">
        <f>IF('Company Info'!A190&gt;0,'Company Info'!A190,NA())</f>
        <v>1.151</v>
      </c>
      <c r="AC8" s="262">
        <f t="shared" si="3"/>
        <v>11.51</v>
      </c>
      <c r="AD8" s="219">
        <f>IF('Company Info'!A180&gt;0,'Company Info'!A180,NA())</f>
        <v>4482</v>
      </c>
      <c r="AE8" s="262">
        <f t="shared" si="4"/>
        <v>448.20000000000005</v>
      </c>
      <c r="AF8" s="219">
        <f>IF('Company Info'!A170&gt;0,'Company Info'!A170,NA())</f>
        <v>9674</v>
      </c>
      <c r="AG8" s="262">
        <f t="shared" si="5"/>
        <v>967.4000000000001</v>
      </c>
      <c r="AH8" s="218">
        <f>IF('Company Info'!A6&gt;0,'Company Info'!A6,NA())</f>
        <v>20.968</v>
      </c>
      <c r="AI8" s="218">
        <f>IF('Company Info'!A16&gt;0,'Company Info'!A16,NA())</f>
        <v>11.5</v>
      </c>
    </row>
    <row r="9" spans="1:35" ht="16.5" customHeight="1">
      <c r="A9" s="271"/>
      <c r="B9" s="290"/>
      <c r="C9" s="290"/>
      <c r="D9" s="290"/>
      <c r="E9" s="290"/>
      <c r="F9" s="290"/>
      <c r="G9" s="290"/>
      <c r="H9" s="290"/>
      <c r="I9" s="290"/>
      <c r="J9" s="271"/>
      <c r="K9" s="271"/>
      <c r="L9" s="271"/>
      <c r="S9" s="40">
        <v>10</v>
      </c>
      <c r="U9" s="216">
        <f>'Company Info'!$A$94-3</f>
        <v>1998</v>
      </c>
      <c r="V9" s="217">
        <f>IF('Company Info'!A27&gt;0,'Company Info'!A27,NA())</f>
        <v>137634</v>
      </c>
      <c r="W9" s="262">
        <f t="shared" si="0"/>
        <v>13763.400000000001</v>
      </c>
      <c r="X9" s="217">
        <f>IF('Company Info'!A47&gt;0,'Company Info'!A47,NA())</f>
        <v>7170</v>
      </c>
      <c r="Y9" s="262">
        <f t="shared" si="1"/>
        <v>717</v>
      </c>
      <c r="Z9" s="219">
        <f>IF('Company Info'!A77&gt;0,'Company Info'!A77,NA())</f>
        <v>0.99</v>
      </c>
      <c r="AA9" s="262">
        <f t="shared" si="2"/>
        <v>99</v>
      </c>
      <c r="AB9" s="219">
        <f>IF('Company Info'!A191&gt;0,'Company Info'!A191,NA())</f>
        <v>1.419</v>
      </c>
      <c r="AC9" s="262">
        <f t="shared" si="3"/>
        <v>14.190000000000001</v>
      </c>
      <c r="AD9" s="219">
        <f>IF('Company Info'!A181&gt;0,'Company Info'!A181,NA())</f>
        <v>4448</v>
      </c>
      <c r="AE9" s="262">
        <f t="shared" si="4"/>
        <v>444.8</v>
      </c>
      <c r="AF9" s="219">
        <f>IF('Company Info'!A171&gt;0,'Company Info'!A171,NA())</f>
        <v>9607</v>
      </c>
      <c r="AG9" s="262">
        <f t="shared" si="5"/>
        <v>960.7</v>
      </c>
      <c r="AH9" s="218">
        <f>IF('Company Info'!A7&gt;0,'Company Info'!A7,NA())</f>
        <v>43.219</v>
      </c>
      <c r="AI9" s="218">
        <f>IF('Company Info'!A17&gt;0,'Company Info'!A17,NA())</f>
        <v>20.093</v>
      </c>
    </row>
    <row r="10" spans="1:35" ht="16.5" customHeight="1">
      <c r="A10" s="271"/>
      <c r="B10" s="290"/>
      <c r="C10" s="290"/>
      <c r="D10" s="290"/>
      <c r="E10" s="290"/>
      <c r="F10" s="290"/>
      <c r="G10" s="290"/>
      <c r="H10" s="290"/>
      <c r="I10" s="290"/>
      <c r="J10" s="271"/>
      <c r="K10" s="271"/>
      <c r="L10" s="271"/>
      <c r="S10" s="41">
        <v>100</v>
      </c>
      <c r="U10" s="216">
        <f>'Company Info'!$A$94-2</f>
        <v>1999</v>
      </c>
      <c r="V10" s="217">
        <f>IF('Company Info'!A28&gt;0,'Company Info'!A28,NA())</f>
        <v>165013</v>
      </c>
      <c r="W10" s="262">
        <f t="shared" si="0"/>
        <v>16501.3</v>
      </c>
      <c r="X10" s="217">
        <f>IF('Company Info'!A48&gt;0,'Company Info'!A48,NA())</f>
        <v>9083</v>
      </c>
      <c r="Y10" s="262">
        <f t="shared" si="1"/>
        <v>908.3000000000001</v>
      </c>
      <c r="Z10" s="219">
        <f>IF('Company Info'!A78&gt;0,'Company Info'!A78,NA())</f>
        <v>1.28</v>
      </c>
      <c r="AA10" s="262">
        <f t="shared" si="2"/>
        <v>128</v>
      </c>
      <c r="AB10" s="219">
        <f>IF('Company Info'!A192&gt;0,'Company Info'!A192,NA())</f>
        <v>1.733</v>
      </c>
      <c r="AC10" s="262">
        <f t="shared" si="3"/>
        <v>17.330000000000002</v>
      </c>
      <c r="AD10" s="219">
        <f>IF('Company Info'!A182&gt;0,'Company Info'!A182,NA())</f>
        <v>4457</v>
      </c>
      <c r="AE10" s="262">
        <f t="shared" si="4"/>
        <v>445.70000000000005</v>
      </c>
      <c r="AF10" s="219">
        <f>IF('Company Info'!A172&gt;0,'Company Info'!A172,NA())</f>
        <v>16674</v>
      </c>
      <c r="AG10" s="262">
        <f t="shared" si="5"/>
        <v>1667.4</v>
      </c>
      <c r="AH10" s="218">
        <f>IF('Company Info'!A8&gt;0,'Company Info'!A8,NA())</f>
        <v>70.25</v>
      </c>
      <c r="AI10" s="218">
        <f>IF('Company Info'!A18&gt;0,'Company Info'!A18,NA())</f>
        <v>38.875</v>
      </c>
    </row>
    <row r="11" spans="1:35" ht="16.5" customHeight="1">
      <c r="A11" s="271"/>
      <c r="B11" s="290"/>
      <c r="C11" s="290"/>
      <c r="D11" s="290"/>
      <c r="E11" s="290"/>
      <c r="F11" s="290"/>
      <c r="G11" s="290"/>
      <c r="H11" s="290"/>
      <c r="I11" s="290"/>
      <c r="J11" s="271"/>
      <c r="K11" s="271"/>
      <c r="L11" s="271"/>
      <c r="S11" s="41">
        <v>1000</v>
      </c>
      <c r="U11" s="216">
        <f>'Company Info'!$A$94-1</f>
        <v>2000</v>
      </c>
      <c r="V11" s="217">
        <f>IF('Company Info'!A29&gt;0,'Company Info'!A29,NA())</f>
        <v>191329</v>
      </c>
      <c r="W11" s="262">
        <f t="shared" si="0"/>
        <v>19132.9</v>
      </c>
      <c r="X11" s="217">
        <f>IF('Company Info'!A49&gt;0,'Company Info'!A49,NA())</f>
        <v>10116</v>
      </c>
      <c r="Y11" s="262">
        <f t="shared" si="1"/>
        <v>1011.6</v>
      </c>
      <c r="Z11" s="219">
        <f>IF('Company Info'!A79&gt;0,'Company Info'!A79,NA())</f>
        <v>1.4</v>
      </c>
      <c r="AA11" s="262">
        <f t="shared" si="2"/>
        <v>140</v>
      </c>
      <c r="AB11" s="219">
        <f>IF('Company Info'!A193&gt;0,'Company Info'!A193,NA())</f>
        <v>1.938</v>
      </c>
      <c r="AC11" s="262">
        <f t="shared" si="3"/>
        <v>19.38</v>
      </c>
      <c r="AD11" s="219">
        <f>IF('Company Info'!A183&gt;0,'Company Info'!A183,NA())</f>
        <v>4470</v>
      </c>
      <c r="AE11" s="262">
        <f t="shared" si="4"/>
        <v>447</v>
      </c>
      <c r="AF11" s="219">
        <f>IF('Company Info'!A173&gt;0,'Company Info'!A173,NA())</f>
        <v>15655</v>
      </c>
      <c r="AG11" s="262">
        <f t="shared" si="5"/>
        <v>1565.5</v>
      </c>
      <c r="AH11" s="218">
        <f>IF('Company Info'!A9&gt;0,'Company Info'!A9,NA())</f>
        <v>64.938</v>
      </c>
      <c r="AI11" s="218">
        <f>IF('Company Info'!A19&gt;0,'Company Info'!A19,NA())</f>
        <v>41.438</v>
      </c>
    </row>
    <row r="12" spans="1:35" ht="16.5" customHeight="1">
      <c r="A12" s="271"/>
      <c r="B12" s="290"/>
      <c r="C12" s="290"/>
      <c r="D12" s="290"/>
      <c r="E12" s="290"/>
      <c r="F12" s="290"/>
      <c r="G12" s="290"/>
      <c r="H12" s="290"/>
      <c r="I12" s="290"/>
      <c r="J12" s="271"/>
      <c r="K12" s="271"/>
      <c r="L12" s="271"/>
      <c r="S12" s="40">
        <v>10000</v>
      </c>
      <c r="U12" s="216">
        <f>'Company Info'!$A$94</f>
        <v>2001</v>
      </c>
      <c r="V12" s="217">
        <f>IF('Company Info'!A30&gt;0,'Company Info'!A30,NA())</f>
        <v>217799</v>
      </c>
      <c r="W12" s="262">
        <f t="shared" si="0"/>
        <v>21779.9</v>
      </c>
      <c r="X12" s="217">
        <f>IF('Company Info'!A50&gt;0,'Company Info'!A50,NA())</f>
        <v>10751</v>
      </c>
      <c r="Y12" s="262">
        <f t="shared" si="1"/>
        <v>1075.1000000000001</v>
      </c>
      <c r="Z12" s="219">
        <f>IF('Company Info'!A80&gt;0,'Company Info'!A80,NA())</f>
        <v>1.49</v>
      </c>
      <c r="AA12" s="262">
        <f t="shared" si="2"/>
        <v>149</v>
      </c>
      <c r="AB12" s="219">
        <f>IF('Company Info'!A194&gt;0,'Company Info'!A194,NA())</f>
        <v>2.106</v>
      </c>
      <c r="AC12" s="262">
        <f t="shared" si="3"/>
        <v>21.06</v>
      </c>
      <c r="AD12" s="219">
        <f>IF('Company Info'!A184&gt;0,'Company Info'!A184,NA())</f>
        <v>4453</v>
      </c>
      <c r="AE12" s="262">
        <f t="shared" si="4"/>
        <v>445.3</v>
      </c>
      <c r="AF12" s="219">
        <f>IF('Company Info'!A174&gt;0,'Company Info'!A174,NA())</f>
        <v>18732</v>
      </c>
      <c r="AG12" s="262">
        <f t="shared" si="5"/>
        <v>1873.2</v>
      </c>
      <c r="AH12" s="218">
        <f>IF('Company Info'!A10&gt;0,'Company Info'!A10,NA())</f>
        <v>59.98</v>
      </c>
      <c r="AI12" s="218">
        <f>IF('Company Info'!A20&gt;0,'Company Info'!A20,NA())</f>
        <v>41.5</v>
      </c>
    </row>
    <row r="13" spans="1:35" ht="16.5" customHeight="1">
      <c r="A13" s="271"/>
      <c r="B13" s="290"/>
      <c r="C13" s="290"/>
      <c r="D13" s="290"/>
      <c r="E13" s="290"/>
      <c r="F13" s="290"/>
      <c r="G13" s="290"/>
      <c r="H13" s="290"/>
      <c r="I13" s="290"/>
      <c r="J13" s="271"/>
      <c r="K13" s="271"/>
      <c r="L13" s="271"/>
      <c r="U13" s="295" t="s">
        <v>3</v>
      </c>
      <c r="V13" s="295"/>
      <c r="W13" s="295"/>
      <c r="X13" s="295"/>
      <c r="Y13" s="295"/>
      <c r="Z13" s="295"/>
      <c r="AA13" s="295"/>
      <c r="AB13" s="295"/>
      <c r="AC13" s="295"/>
      <c r="AD13" s="295"/>
      <c r="AE13" s="295"/>
      <c r="AF13" s="295"/>
      <c r="AG13" s="295"/>
      <c r="AH13" s="295"/>
      <c r="AI13" s="295"/>
    </row>
    <row r="14" spans="1:12" ht="16.5" customHeight="1">
      <c r="A14" s="271"/>
      <c r="B14" s="271"/>
      <c r="C14" s="271"/>
      <c r="D14" s="271"/>
      <c r="E14" s="271"/>
      <c r="F14" s="271"/>
      <c r="G14" s="271"/>
      <c r="H14" s="271"/>
      <c r="I14" s="271"/>
      <c r="J14" s="271"/>
      <c r="K14" s="271"/>
      <c r="L14" s="271"/>
    </row>
    <row r="15" spans="1:12" ht="16.5" customHeight="1">
      <c r="A15" s="271"/>
      <c r="B15" s="271"/>
      <c r="C15" s="271"/>
      <c r="D15" s="271"/>
      <c r="E15" s="271"/>
      <c r="F15" s="271"/>
      <c r="G15" s="271"/>
      <c r="H15" s="271"/>
      <c r="I15" s="271"/>
      <c r="J15" s="271"/>
      <c r="K15" s="271"/>
      <c r="L15" s="271"/>
    </row>
    <row r="16" spans="1:12" ht="16.5" customHeight="1">
      <c r="A16" s="271"/>
      <c r="B16" s="271"/>
      <c r="C16" s="271"/>
      <c r="D16" s="271"/>
      <c r="E16" s="271"/>
      <c r="F16" s="271"/>
      <c r="G16" s="271"/>
      <c r="H16" s="271"/>
      <c r="I16" s="271"/>
      <c r="J16" s="271"/>
      <c r="K16" s="271"/>
      <c r="L16" s="271"/>
    </row>
    <row r="17" spans="1:35" s="37" customFormat="1" ht="12.75">
      <c r="A17" s="271"/>
      <c r="B17" s="271"/>
      <c r="C17" s="271"/>
      <c r="D17" s="271"/>
      <c r="E17" s="271"/>
      <c r="F17" s="271"/>
      <c r="G17" s="271"/>
      <c r="H17" s="271"/>
      <c r="I17" s="271"/>
      <c r="J17" s="271"/>
      <c r="K17" s="271"/>
      <c r="L17" s="271"/>
      <c r="S17" s="207"/>
      <c r="U17" s="221"/>
      <c r="V17" s="221"/>
      <c r="W17" s="221"/>
      <c r="X17" s="221"/>
      <c r="Y17" s="221"/>
      <c r="Z17" s="221"/>
      <c r="AA17" s="221"/>
      <c r="AB17" s="221"/>
      <c r="AC17" s="221"/>
      <c r="AD17" s="221"/>
      <c r="AE17" s="221"/>
      <c r="AF17" s="221"/>
      <c r="AG17" s="221"/>
      <c r="AH17" s="221"/>
      <c r="AI17" s="221"/>
    </row>
    <row r="18" spans="1:35" s="46" customFormat="1" ht="13.5">
      <c r="A18" s="271"/>
      <c r="B18" s="271"/>
      <c r="C18" s="271"/>
      <c r="D18" s="271"/>
      <c r="E18" s="271"/>
      <c r="F18" s="271"/>
      <c r="G18" s="271"/>
      <c r="H18" s="271"/>
      <c r="I18" s="271"/>
      <c r="J18" s="271"/>
      <c r="K18" s="271"/>
      <c r="L18" s="271"/>
      <c r="S18" s="214"/>
      <c r="U18" s="222"/>
      <c r="V18" s="222"/>
      <c r="W18" s="222"/>
      <c r="X18" s="222"/>
      <c r="Y18" s="222"/>
      <c r="Z18" s="222"/>
      <c r="AA18" s="222"/>
      <c r="AB18" s="222"/>
      <c r="AC18" s="222"/>
      <c r="AD18" s="222"/>
      <c r="AE18" s="222"/>
      <c r="AF18" s="222"/>
      <c r="AG18" s="222"/>
      <c r="AH18" s="222"/>
      <c r="AI18" s="222"/>
    </row>
    <row r="19" spans="1:35" s="46" customFormat="1" ht="13.5">
      <c r="A19" s="271"/>
      <c r="B19" s="271"/>
      <c r="C19" s="271"/>
      <c r="D19" s="271"/>
      <c r="E19" s="271"/>
      <c r="F19" s="271"/>
      <c r="G19" s="271"/>
      <c r="H19" s="271"/>
      <c r="I19" s="271"/>
      <c r="J19" s="271"/>
      <c r="K19" s="271"/>
      <c r="L19" s="271"/>
      <c r="S19" s="206"/>
      <c r="U19" s="222"/>
      <c r="V19" s="222"/>
      <c r="W19" s="222"/>
      <c r="X19" s="222"/>
      <c r="Y19" s="222"/>
      <c r="Z19" s="222"/>
      <c r="AA19" s="222"/>
      <c r="AB19" s="222"/>
      <c r="AC19" s="222"/>
      <c r="AD19" s="222"/>
      <c r="AE19" s="222"/>
      <c r="AF19" s="222"/>
      <c r="AG19" s="222"/>
      <c r="AH19" s="222"/>
      <c r="AI19" s="222"/>
    </row>
    <row r="20" spans="1:35" s="46" customFormat="1" ht="13.5">
      <c r="A20" s="271"/>
      <c r="B20" s="271"/>
      <c r="C20" s="271"/>
      <c r="D20" s="271"/>
      <c r="E20" s="271"/>
      <c r="F20" s="271"/>
      <c r="G20" s="271"/>
      <c r="H20" s="271"/>
      <c r="I20" s="271"/>
      <c r="J20" s="271"/>
      <c r="K20" s="271"/>
      <c r="L20" s="271"/>
      <c r="S20" s="206"/>
      <c r="U20" s="222"/>
      <c r="V20" s="222"/>
      <c r="W20" s="222"/>
      <c r="X20" s="222"/>
      <c r="Y20" s="222"/>
      <c r="Z20" s="222"/>
      <c r="AA20" s="222"/>
      <c r="AB20" s="222"/>
      <c r="AC20" s="222"/>
      <c r="AD20" s="222"/>
      <c r="AE20" s="222"/>
      <c r="AF20" s="222"/>
      <c r="AG20" s="222"/>
      <c r="AH20" s="222"/>
      <c r="AI20" s="222"/>
    </row>
    <row r="21" spans="10:35" s="46" customFormat="1" ht="13.5">
      <c r="J21" s="43" t="e">
        <f>#REF!*(1.15)</f>
        <v>#REF!</v>
      </c>
      <c r="S21" s="206"/>
      <c r="U21" s="222"/>
      <c r="V21" s="222"/>
      <c r="W21" s="222"/>
      <c r="X21" s="222"/>
      <c r="Y21" s="222"/>
      <c r="Z21" s="222"/>
      <c r="AA21" s="222"/>
      <c r="AB21" s="222"/>
      <c r="AC21" s="222"/>
      <c r="AD21" s="222"/>
      <c r="AE21" s="222"/>
      <c r="AF21" s="222"/>
      <c r="AG21" s="222"/>
      <c r="AH21" s="222"/>
      <c r="AI21" s="222"/>
    </row>
    <row r="22" spans="10:35" s="46" customFormat="1" ht="108" customHeight="1">
      <c r="J22" s="43" t="e">
        <f>J21*(1.15)</f>
        <v>#REF!</v>
      </c>
      <c r="S22" s="206"/>
      <c r="U22" s="222"/>
      <c r="V22" s="222"/>
      <c r="W22" s="222"/>
      <c r="X22" s="222"/>
      <c r="Y22" s="222"/>
      <c r="Z22" s="222"/>
      <c r="AA22" s="222"/>
      <c r="AB22" s="222"/>
      <c r="AC22" s="222"/>
      <c r="AD22" s="222"/>
      <c r="AE22" s="222"/>
      <c r="AF22" s="222"/>
      <c r="AG22" s="222"/>
      <c r="AH22" s="222"/>
      <c r="AI22" s="222"/>
    </row>
    <row r="23" spans="2:35" s="46" customFormat="1" ht="13.5">
      <c r="B23" s="205"/>
      <c r="C23" s="205"/>
      <c r="D23" s="205"/>
      <c r="E23" s="205"/>
      <c r="F23" s="205"/>
      <c r="G23" s="205"/>
      <c r="H23" s="205"/>
      <c r="J23" s="43" t="e">
        <f>J22*(1.15)</f>
        <v>#REF!</v>
      </c>
      <c r="S23" s="206"/>
      <c r="U23" s="222"/>
      <c r="V23" s="222"/>
      <c r="W23" s="222"/>
      <c r="X23" s="222"/>
      <c r="Y23" s="222"/>
      <c r="Z23" s="222"/>
      <c r="AA23" s="222"/>
      <c r="AB23" s="222"/>
      <c r="AC23" s="222"/>
      <c r="AD23" s="222"/>
      <c r="AE23" s="222"/>
      <c r="AF23" s="222"/>
      <c r="AG23" s="222"/>
      <c r="AH23" s="222"/>
      <c r="AI23" s="222"/>
    </row>
    <row r="24" spans="2:35" s="46" customFormat="1" ht="13.5">
      <c r="B24" s="205"/>
      <c r="C24" s="205"/>
      <c r="D24" s="205"/>
      <c r="E24" s="205"/>
      <c r="F24" s="205"/>
      <c r="G24" s="205"/>
      <c r="H24" s="205"/>
      <c r="J24" s="43" t="e">
        <f>J23*(1.15)</f>
        <v>#REF!</v>
      </c>
      <c r="S24" s="206"/>
      <c r="U24" s="222"/>
      <c r="V24" s="222"/>
      <c r="W24" s="222"/>
      <c r="X24" s="222"/>
      <c r="Y24" s="222"/>
      <c r="Z24" s="222"/>
      <c r="AA24" s="222"/>
      <c r="AB24" s="222"/>
      <c r="AC24" s="222"/>
      <c r="AD24" s="222"/>
      <c r="AE24" s="222"/>
      <c r="AF24" s="222"/>
      <c r="AG24" s="222"/>
      <c r="AH24" s="222"/>
      <c r="AI24" s="222"/>
    </row>
    <row r="25" spans="2:35" s="46" customFormat="1" ht="12.75" customHeight="1">
      <c r="B25" s="205"/>
      <c r="C25" s="205"/>
      <c r="D25" s="205"/>
      <c r="E25" s="205"/>
      <c r="F25" s="205"/>
      <c r="G25" s="205"/>
      <c r="H25" s="205"/>
      <c r="J25" s="43" t="e">
        <f>J24*(1.15)</f>
        <v>#REF!</v>
      </c>
      <c r="S25" s="206"/>
      <c r="U25" s="222"/>
      <c r="V25" s="222"/>
      <c r="W25" s="222"/>
      <c r="X25" s="222"/>
      <c r="Y25" s="222"/>
      <c r="Z25" s="222"/>
      <c r="AA25" s="222"/>
      <c r="AB25" s="222"/>
      <c r="AC25" s="222"/>
      <c r="AD25" s="222"/>
      <c r="AE25" s="222"/>
      <c r="AF25" s="222"/>
      <c r="AG25" s="222"/>
      <c r="AH25" s="222"/>
      <c r="AI25" s="222"/>
    </row>
    <row r="26" spans="2:19" ht="12.75" customHeight="1">
      <c r="B26" s="205"/>
      <c r="C26" s="205"/>
      <c r="D26" s="205"/>
      <c r="E26" s="205"/>
      <c r="F26" s="205"/>
      <c r="G26" s="205"/>
      <c r="H26" s="205"/>
      <c r="I26" s="44"/>
      <c r="J26" s="43"/>
      <c r="S26" s="206"/>
    </row>
    <row r="27" spans="1:10" ht="12.75" customHeight="1">
      <c r="A27" s="42"/>
      <c r="B27" s="205"/>
      <c r="C27" s="205"/>
      <c r="D27" s="205"/>
      <c r="E27" s="205"/>
      <c r="F27" s="205"/>
      <c r="G27" s="205"/>
      <c r="H27" s="205"/>
      <c r="J27" s="43"/>
    </row>
    <row r="28" spans="1:9" ht="12.75" customHeight="1">
      <c r="A28" s="42"/>
      <c r="B28" s="205"/>
      <c r="C28" s="205"/>
      <c r="D28" s="205"/>
      <c r="E28" s="205"/>
      <c r="F28" s="205"/>
      <c r="G28" s="205"/>
      <c r="H28" s="205"/>
      <c r="I28" s="43"/>
    </row>
    <row r="29" spans="1:9" ht="12.75" customHeight="1">
      <c r="A29" s="42"/>
      <c r="B29" s="205"/>
      <c r="C29" s="205"/>
      <c r="D29" s="205"/>
      <c r="E29" s="205"/>
      <c r="F29" s="205"/>
      <c r="G29" s="205"/>
      <c r="H29" s="205"/>
      <c r="I29" s="43"/>
    </row>
    <row r="30" spans="1:9" ht="13.5">
      <c r="A30" s="42"/>
      <c r="B30" s="166"/>
      <c r="C30" s="166"/>
      <c r="D30" s="166"/>
      <c r="E30" s="166"/>
      <c r="F30" s="166"/>
      <c r="G30" s="166"/>
      <c r="H30" s="166"/>
      <c r="I30" s="42"/>
    </row>
    <row r="31" spans="1:9" ht="12.75" customHeight="1">
      <c r="A31" s="42"/>
      <c r="B31" s="168"/>
      <c r="C31" s="168"/>
      <c r="D31" s="168"/>
      <c r="E31" s="168"/>
      <c r="F31" s="168"/>
      <c r="G31" s="168"/>
      <c r="H31" s="168"/>
      <c r="I31" s="36"/>
    </row>
    <row r="32" spans="1:9" ht="13.5">
      <c r="A32" s="42"/>
      <c r="B32" s="167"/>
      <c r="C32" s="167"/>
      <c r="D32" s="167"/>
      <c r="E32" s="167"/>
      <c r="F32" s="167"/>
      <c r="G32" s="167"/>
      <c r="H32" s="167"/>
      <c r="I32" s="42"/>
    </row>
    <row r="33" spans="1:9" ht="13.5">
      <c r="A33" s="42"/>
      <c r="B33" s="167"/>
      <c r="C33" s="167"/>
      <c r="D33" s="167"/>
      <c r="E33" s="167"/>
      <c r="F33" s="167"/>
      <c r="G33" s="167"/>
      <c r="H33" s="167"/>
      <c r="I33" s="42"/>
    </row>
    <row r="34" spans="2:10" ht="13.5">
      <c r="B34" s="49"/>
      <c r="C34" s="49"/>
      <c r="D34" s="49"/>
      <c r="E34" s="49"/>
      <c r="F34" s="49"/>
      <c r="G34" s="49"/>
      <c r="H34" s="49"/>
      <c r="I34" s="49"/>
      <c r="J34" s="49"/>
    </row>
    <row r="36" ht="13.5">
      <c r="B36" s="49"/>
    </row>
  </sheetData>
  <sheetProtection/>
  <mergeCells count="17">
    <mergeCell ref="B5:I13"/>
    <mergeCell ref="AH1:AH2"/>
    <mergeCell ref="AI1:AI2"/>
    <mergeCell ref="U13:AI13"/>
    <mergeCell ref="V1:V2"/>
    <mergeCell ref="X1:X2"/>
    <mergeCell ref="Y1:Y2"/>
    <mergeCell ref="W1:W2"/>
    <mergeCell ref="U1:U2"/>
    <mergeCell ref="Z1:Z2"/>
    <mergeCell ref="AE1:AE2"/>
    <mergeCell ref="AF1:AF2"/>
    <mergeCell ref="AG1:AG2"/>
    <mergeCell ref="AA1:AA2"/>
    <mergeCell ref="AB1:AB2"/>
    <mergeCell ref="AC1:AC2"/>
    <mergeCell ref="AD1:AD2"/>
  </mergeCells>
  <printOptions/>
  <pageMargins left="0.75" right="0.75" top="1" bottom="1" header="0.5" footer="0.5"/>
  <pageSetup fitToHeight="1" fitToWidth="1" horizontalDpi="600" verticalDpi="600" orientation="portrait" scale="78" r:id="rId2"/>
  <headerFooter alignWithMargins="0">
    <oddHeader>&amp;C&amp;A</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sheetPr codeName="Sheet6"/>
  <dimension ref="A1:A25"/>
  <sheetViews>
    <sheetView showGridLines="0" workbookViewId="0" topLeftCell="A1">
      <selection activeCell="A1" sqref="A1"/>
    </sheetView>
  </sheetViews>
  <sheetFormatPr defaultColWidth="9.00390625" defaultRowHeight="12.75"/>
  <cols>
    <col min="1" max="1" width="69.375" style="252" customWidth="1"/>
    <col min="2" max="2" width="30.75390625" style="248" customWidth="1"/>
    <col min="3" max="16384" width="8.875" style="248" customWidth="1"/>
  </cols>
  <sheetData>
    <row r="1" ht="12.75">
      <c r="A1" s="247" t="s">
        <v>311</v>
      </c>
    </row>
    <row r="2" ht="12.75">
      <c r="A2" s="249" t="s">
        <v>435</v>
      </c>
    </row>
    <row r="3" ht="12.75">
      <c r="A3" s="250">
        <v>37740</v>
      </c>
    </row>
    <row r="5" ht="63.75">
      <c r="A5" s="251" t="s">
        <v>421</v>
      </c>
    </row>
    <row r="6" ht="79.5" customHeight="1">
      <c r="A6" s="251" t="s">
        <v>406</v>
      </c>
    </row>
    <row r="7" ht="78.75" customHeight="1">
      <c r="A7" s="251" t="s">
        <v>407</v>
      </c>
    </row>
    <row r="8" ht="25.5">
      <c r="A8" s="303" t="s">
        <v>408</v>
      </c>
    </row>
    <row r="9" ht="76.5">
      <c r="A9" s="251" t="s">
        <v>409</v>
      </c>
    </row>
    <row r="10" ht="51">
      <c r="A10" s="251" t="s">
        <v>410</v>
      </c>
    </row>
    <row r="11" ht="12.75">
      <c r="A11" s="303" t="s">
        <v>411</v>
      </c>
    </row>
    <row r="12" ht="102">
      <c r="A12" s="251" t="s">
        <v>412</v>
      </c>
    </row>
    <row r="13" ht="12.75">
      <c r="A13" s="304" t="s">
        <v>413</v>
      </c>
    </row>
    <row r="14" ht="38.25">
      <c r="A14" s="251" t="s">
        <v>414</v>
      </c>
    </row>
    <row r="15" ht="38.25">
      <c r="A15" s="305" t="s">
        <v>415</v>
      </c>
    </row>
    <row r="16" ht="25.5">
      <c r="A16" s="303" t="s">
        <v>416</v>
      </c>
    </row>
    <row r="17" ht="38.25">
      <c r="A17" s="251" t="s">
        <v>422</v>
      </c>
    </row>
    <row r="18" ht="76.5">
      <c r="A18" s="251" t="s">
        <v>417</v>
      </c>
    </row>
    <row r="19" ht="140.25">
      <c r="A19" s="251" t="s">
        <v>418</v>
      </c>
    </row>
    <row r="20" ht="25.5">
      <c r="A20" s="251" t="s">
        <v>419</v>
      </c>
    </row>
    <row r="21" ht="12.75">
      <c r="A21" s="304" t="s">
        <v>420</v>
      </c>
    </row>
    <row r="22" ht="25.5">
      <c r="A22" s="251" t="s">
        <v>0</v>
      </c>
    </row>
    <row r="24" ht="12.75">
      <c r="A24" s="252" t="s">
        <v>312</v>
      </c>
    </row>
    <row r="25" ht="12.75">
      <c r="A25" s="252" t="s">
        <v>423</v>
      </c>
    </row>
  </sheetData>
  <sheetProtection sheet="1" objects="1" scenarios="1"/>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C13"/>
  <sheetViews>
    <sheetView showGridLines="0" workbookViewId="0" topLeftCell="A1">
      <pane ySplit="1" topLeftCell="BM2" activePane="bottomLeft" state="frozen"/>
      <selection pane="topLeft" activeCell="A1" sqref="A1"/>
      <selection pane="bottomLeft" activeCell="A1" sqref="A1"/>
    </sheetView>
  </sheetViews>
  <sheetFormatPr defaultColWidth="9.00390625" defaultRowHeight="12.75"/>
  <cols>
    <col min="1" max="1" width="8.875" style="299" customWidth="1"/>
    <col min="2" max="2" width="8.875" style="300" customWidth="1"/>
    <col min="3" max="3" width="63.625" style="301" customWidth="1"/>
  </cols>
  <sheetData>
    <row r="1" spans="1:3" s="298" customFormat="1" ht="12.75">
      <c r="A1" s="307" t="s">
        <v>400</v>
      </c>
      <c r="B1" s="308" t="s">
        <v>401</v>
      </c>
      <c r="C1" s="297" t="s">
        <v>402</v>
      </c>
    </row>
    <row r="2" spans="1:3" ht="12.75">
      <c r="A2" s="299">
        <v>3.01</v>
      </c>
      <c r="B2" s="300">
        <v>37388</v>
      </c>
      <c r="C2" s="301" t="s">
        <v>403</v>
      </c>
    </row>
    <row r="3" spans="1:3" ht="51">
      <c r="A3" s="299">
        <v>3.02</v>
      </c>
      <c r="B3" s="300">
        <v>37389</v>
      </c>
      <c r="C3" s="302" t="s">
        <v>404</v>
      </c>
    </row>
    <row r="4" spans="1:3" ht="38.25">
      <c r="A4" s="299">
        <v>3.03</v>
      </c>
      <c r="B4" s="300">
        <v>37395</v>
      </c>
      <c r="C4" s="302" t="s">
        <v>405</v>
      </c>
    </row>
    <row r="5" spans="1:3" ht="12.75">
      <c r="A5" s="306">
        <v>3.1</v>
      </c>
      <c r="B5" s="300">
        <v>37397</v>
      </c>
      <c r="C5" s="301" t="s">
        <v>431</v>
      </c>
    </row>
    <row r="6" ht="12.75">
      <c r="C6" t="s">
        <v>424</v>
      </c>
    </row>
    <row r="7" ht="12.75">
      <c r="C7" t="s">
        <v>425</v>
      </c>
    </row>
    <row r="8" ht="12.75">
      <c r="C8" t="s">
        <v>426</v>
      </c>
    </row>
    <row r="9" ht="12.75">
      <c r="C9" t="s">
        <v>427</v>
      </c>
    </row>
    <row r="10" ht="12.75">
      <c r="C10" t="s">
        <v>428</v>
      </c>
    </row>
    <row r="11" ht="12.75">
      <c r="C11" t="s">
        <v>429</v>
      </c>
    </row>
    <row r="12" ht="12.75">
      <c r="C12" t="s">
        <v>430</v>
      </c>
    </row>
    <row r="13" spans="1:3" ht="27">
      <c r="A13" s="299">
        <v>3.11</v>
      </c>
      <c r="B13" s="300">
        <v>37740</v>
      </c>
      <c r="C13" s="301" t="s">
        <v>434</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Gerlach</dc:creator>
  <cp:keywords/>
  <dc:description/>
  <cp:lastModifiedBy>Douglas Gerlach</cp:lastModifiedBy>
  <cp:lastPrinted>2003-04-29T17:18:02Z</cp:lastPrinted>
  <dcterms:created xsi:type="dcterms:W3CDTF">2002-05-08T00:20:40Z</dcterms:created>
  <dcterms:modified xsi:type="dcterms:W3CDTF">2003-04-30T01:27:22Z</dcterms:modified>
  <cp:category/>
  <cp:version/>
  <cp:contentType/>
  <cp:contentStatus/>
</cp:coreProperties>
</file>